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955" yWindow="-15" windowWidth="6000" windowHeight="5730" tabRatio="795"/>
  </bookViews>
  <sheets>
    <sheet name="Start" sheetId="10" r:id="rId1"/>
    <sheet name="Acquirer" sheetId="4" r:id="rId2"/>
    <sheet name="Target" sheetId="1" r:id="rId3"/>
    <sheet name="Acquisition" sheetId="5" r:id="rId4"/>
    <sheet name="Synergies" sheetId="7" r:id="rId5"/>
    <sheet name="Consolidation" sheetId="6" r:id="rId6"/>
    <sheet name="WACC" sheetId="12" r:id="rId7"/>
    <sheet name="Value driver" sheetId="11" r:id="rId8"/>
    <sheet name="Exit multiples" sheetId="13" r:id="rId9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38853.7014467593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</definedNames>
  <calcPr calcId="145621" iterate="1"/>
</workbook>
</file>

<file path=xl/calcChain.xml><?xml version="1.0" encoding="utf-8"?>
<calcChain xmlns="http://schemas.openxmlformats.org/spreadsheetml/2006/main">
  <c r="E14" i="7" l="1"/>
  <c r="D14" i="7"/>
  <c r="C10" i="7"/>
  <c r="D23" i="1"/>
  <c r="E23" i="1"/>
  <c r="E11" i="1"/>
  <c r="F11" i="1"/>
  <c r="G11" i="1"/>
  <c r="E10" i="4"/>
  <c r="F10" i="4"/>
  <c r="G10" i="4"/>
  <c r="H10" i="4"/>
  <c r="B77" i="1"/>
  <c r="C77" i="1"/>
  <c r="B75" i="1"/>
  <c r="B42" i="1"/>
  <c r="B47" i="1"/>
  <c r="B40" i="1"/>
  <c r="B49" i="1"/>
  <c r="B48" i="1"/>
  <c r="B44" i="1"/>
  <c r="B15" i="1"/>
  <c r="C15" i="1"/>
  <c r="B30" i="1"/>
  <c r="B29" i="1"/>
  <c r="B28" i="1"/>
  <c r="B42" i="4"/>
  <c r="B49" i="4"/>
  <c r="B48" i="4"/>
  <c r="B47" i="4"/>
  <c r="B44" i="4"/>
  <c r="B40" i="4"/>
  <c r="B41" i="6"/>
  <c r="B43" i="6"/>
  <c r="B35" i="4"/>
  <c r="B31" i="4"/>
  <c r="B30" i="4"/>
  <c r="B29" i="4"/>
  <c r="B28" i="4"/>
  <c r="D10" i="1"/>
  <c r="E10" i="1"/>
  <c r="D65" i="4"/>
  <c r="C23" i="4"/>
  <c r="D23" i="4"/>
  <c r="C75" i="1"/>
  <c r="D65" i="1"/>
  <c r="F65" i="1"/>
  <c r="G65" i="1"/>
  <c r="H65" i="1"/>
  <c r="J87" i="6"/>
  <c r="C41" i="1"/>
  <c r="D41" i="1"/>
  <c r="E41" i="1"/>
  <c r="F41" i="1"/>
  <c r="G41" i="1"/>
  <c r="H41" i="1"/>
  <c r="C26" i="1"/>
  <c r="D19" i="1"/>
  <c r="D18" i="1"/>
  <c r="E18" i="1"/>
  <c r="B16" i="1"/>
  <c r="B14" i="1"/>
  <c r="C14" i="1"/>
  <c r="B12" i="1"/>
  <c r="C12" i="1"/>
  <c r="D12" i="1"/>
  <c r="E12" i="1"/>
  <c r="F12" i="1"/>
  <c r="G12" i="1"/>
  <c r="H12" i="1"/>
  <c r="G27" i="6"/>
  <c r="H27" i="6"/>
  <c r="I27" i="6"/>
  <c r="J27" i="6"/>
  <c r="B14" i="12"/>
  <c r="F9" i="7"/>
  <c r="G9" i="7"/>
  <c r="C75" i="4"/>
  <c r="C66" i="4"/>
  <c r="C88" i="6"/>
  <c r="B101" i="6"/>
  <c r="F87" i="6"/>
  <c r="C87" i="6"/>
  <c r="A3" i="1"/>
  <c r="B7" i="4"/>
  <c r="B7" i="1" s="1"/>
  <c r="B7" i="7" s="1"/>
  <c r="A3" i="13"/>
  <c r="B29" i="12"/>
  <c r="B9" i="5"/>
  <c r="B11" i="5"/>
  <c r="A79" i="1"/>
  <c r="A79" i="4"/>
  <c r="A4" i="13"/>
  <c r="A2" i="13"/>
  <c r="B57" i="11"/>
  <c r="B55" i="11"/>
  <c r="A51" i="11"/>
  <c r="A53" i="11"/>
  <c r="A43" i="11"/>
  <c r="A44" i="11"/>
  <c r="A45" i="11"/>
  <c r="A46" i="11"/>
  <c r="A6" i="11"/>
  <c r="A4" i="11"/>
  <c r="A3" i="11"/>
  <c r="A2" i="11"/>
  <c r="A29" i="12"/>
  <c r="C12" i="12"/>
  <c r="C11" i="12"/>
  <c r="A4" i="12"/>
  <c r="A3" i="12"/>
  <c r="A2" i="12"/>
  <c r="B19" i="12"/>
  <c r="C19" i="12"/>
  <c r="C21" i="12"/>
  <c r="A2" i="4"/>
  <c r="A3" i="4"/>
  <c r="A4" i="4"/>
  <c r="D18" i="4"/>
  <c r="E18" i="4"/>
  <c r="F18" i="4"/>
  <c r="G18" i="4"/>
  <c r="D19" i="4"/>
  <c r="E19" i="4"/>
  <c r="F19" i="4"/>
  <c r="C26" i="4"/>
  <c r="D26" i="4"/>
  <c r="C41" i="4"/>
  <c r="D41" i="4"/>
  <c r="E41" i="4"/>
  <c r="F41" i="4"/>
  <c r="G41" i="4"/>
  <c r="H41" i="4"/>
  <c r="B14" i="4"/>
  <c r="C14" i="4"/>
  <c r="B43" i="4"/>
  <c r="B45" i="4"/>
  <c r="B15" i="4"/>
  <c r="C15" i="4"/>
  <c r="B12" i="4"/>
  <c r="C12" i="4"/>
  <c r="B52" i="4"/>
  <c r="A2" i="5"/>
  <c r="A3" i="5"/>
  <c r="A4" i="5"/>
  <c r="A9" i="5"/>
  <c r="B15" i="5"/>
  <c r="B26" i="5"/>
  <c r="A2" i="6"/>
  <c r="A4" i="6"/>
  <c r="A5" i="6"/>
  <c r="B8" i="6"/>
  <c r="F8" i="6"/>
  <c r="A9" i="6"/>
  <c r="B9" i="6"/>
  <c r="A14" i="6"/>
  <c r="B15" i="6"/>
  <c r="B18" i="6"/>
  <c r="C15" i="6"/>
  <c r="C18" i="6"/>
  <c r="A18" i="6"/>
  <c r="B23" i="6"/>
  <c r="A25" i="6"/>
  <c r="B25" i="6"/>
  <c r="A26" i="6"/>
  <c r="B27" i="6"/>
  <c r="C27" i="6"/>
  <c r="B28" i="6"/>
  <c r="A29" i="6"/>
  <c r="A30" i="6"/>
  <c r="B30" i="6"/>
  <c r="A31" i="6"/>
  <c r="B32" i="6"/>
  <c r="B34" i="6"/>
  <c r="B35" i="6"/>
  <c r="B37" i="6"/>
  <c r="A40" i="6"/>
  <c r="B44" i="6"/>
  <c r="C44" i="6"/>
  <c r="B45" i="6"/>
  <c r="B47" i="6"/>
  <c r="B49" i="6"/>
  <c r="B51" i="6"/>
  <c r="A51" i="6"/>
  <c r="A52" i="6"/>
  <c r="B54" i="6"/>
  <c r="B55" i="6"/>
  <c r="B57" i="6"/>
  <c r="B58" i="6"/>
  <c r="B60" i="6"/>
  <c r="B61" i="6"/>
  <c r="B63" i="6"/>
  <c r="B66" i="6"/>
  <c r="A64" i="6"/>
  <c r="B64" i="6"/>
  <c r="A65" i="6"/>
  <c r="A69" i="6"/>
  <c r="A70" i="6"/>
  <c r="A82" i="6"/>
  <c r="A83" i="6"/>
  <c r="A86" i="6"/>
  <c r="A90" i="6"/>
  <c r="A97" i="6"/>
  <c r="A98" i="6"/>
  <c r="B98" i="6"/>
  <c r="C98" i="6"/>
  <c r="A2" i="7"/>
  <c r="A3" i="7"/>
  <c r="A4" i="7"/>
  <c r="A7" i="7"/>
  <c r="F11" i="7"/>
  <c r="F14" i="7"/>
  <c r="A2" i="1"/>
  <c r="A4" i="1"/>
  <c r="B17" i="4"/>
  <c r="C17" i="4"/>
  <c r="D17" i="4"/>
  <c r="E17" i="4"/>
  <c r="F17" i="4"/>
  <c r="G17" i="4"/>
  <c r="H17" i="4"/>
  <c r="B16" i="4"/>
  <c r="D13" i="4"/>
  <c r="E13" i="4"/>
  <c r="F13" i="4"/>
  <c r="G13" i="4"/>
  <c r="H13" i="4"/>
  <c r="C12" i="6"/>
  <c r="B50" i="11"/>
  <c r="B28" i="12"/>
  <c r="B30" i="12"/>
  <c r="C101" i="6"/>
  <c r="F101" i="6"/>
  <c r="C60" i="1"/>
  <c r="C49" i="1"/>
  <c r="D26" i="1"/>
  <c r="D60" i="1"/>
  <c r="E19" i="1"/>
  <c r="F19" i="1"/>
  <c r="G19" i="1"/>
  <c r="D12" i="7"/>
  <c r="F27" i="6"/>
  <c r="F65" i="4"/>
  <c r="G87" i="6"/>
  <c r="H87" i="6"/>
  <c r="D77" i="1"/>
  <c r="C60" i="4"/>
  <c r="D75" i="4"/>
  <c r="E75" i="4"/>
  <c r="F75" i="4"/>
  <c r="G75" i="4"/>
  <c r="H75" i="4"/>
  <c r="C66" i="1"/>
  <c r="B43" i="1"/>
  <c r="B45" i="1"/>
  <c r="B52" i="1"/>
  <c r="B17" i="1"/>
  <c r="C17" i="1"/>
  <c r="D17" i="1"/>
  <c r="E17" i="1"/>
  <c r="F17" i="1"/>
  <c r="G17" i="1"/>
  <c r="H17" i="1"/>
  <c r="B32" i="1"/>
  <c r="B27" i="1"/>
  <c r="B11" i="1"/>
  <c r="D10" i="7"/>
  <c r="C27" i="1"/>
  <c r="F77" i="6"/>
  <c r="F16" i="6"/>
  <c r="F17" i="6"/>
  <c r="I87" i="6"/>
  <c r="B34" i="1"/>
  <c r="B20" i="1"/>
  <c r="C20" i="1"/>
  <c r="D20" i="1"/>
  <c r="E20" i="1"/>
  <c r="F20" i="1"/>
  <c r="G20" i="1"/>
  <c r="H20" i="1"/>
  <c r="B21" i="12"/>
  <c r="D75" i="1"/>
  <c r="C49" i="4"/>
  <c r="C58" i="6"/>
  <c r="C76" i="6"/>
  <c r="C78" i="6"/>
  <c r="C13" i="1"/>
  <c r="B13" i="1"/>
  <c r="B70" i="1"/>
  <c r="D27" i="1"/>
  <c r="D59" i="1"/>
  <c r="F74" i="6"/>
  <c r="E75" i="1"/>
  <c r="E66" i="1"/>
  <c r="D66" i="1"/>
  <c r="B37" i="1"/>
  <c r="B21" i="1"/>
  <c r="C21" i="1"/>
  <c r="D21" i="1"/>
  <c r="E21" i="1"/>
  <c r="F21" i="1"/>
  <c r="G21" i="1"/>
  <c r="H21" i="1"/>
  <c r="D13" i="1"/>
  <c r="E13" i="1"/>
  <c r="F13" i="1"/>
  <c r="B22" i="12"/>
  <c r="F20" i="6"/>
  <c r="F75" i="1"/>
  <c r="G75" i="1"/>
  <c r="C22" i="12"/>
  <c r="C23" i="12"/>
  <c r="B23" i="12"/>
  <c r="H75" i="1"/>
  <c r="G13" i="1"/>
  <c r="H13" i="1"/>
  <c r="C60" i="6"/>
  <c r="E58" i="6"/>
  <c r="D58" i="6"/>
  <c r="D15" i="4"/>
  <c r="E15" i="4"/>
  <c r="F15" i="4"/>
  <c r="G15" i="4"/>
  <c r="H15" i="4"/>
  <c r="C44" i="4"/>
  <c r="E26" i="4"/>
  <c r="D60" i="4"/>
  <c r="F15" i="6"/>
  <c r="F18" i="6"/>
  <c r="C71" i="4"/>
  <c r="B53" i="4"/>
  <c r="G19" i="4"/>
  <c r="D14" i="4"/>
  <c r="E14" i="4"/>
  <c r="F14" i="4"/>
  <c r="G14" i="4"/>
  <c r="H14" i="4"/>
  <c r="C42" i="4"/>
  <c r="D77" i="4"/>
  <c r="E23" i="4"/>
  <c r="F23" i="4"/>
  <c r="G23" i="4"/>
  <c r="H23" i="4"/>
  <c r="B32" i="4"/>
  <c r="B27" i="4"/>
  <c r="D12" i="4"/>
  <c r="C11" i="6"/>
  <c r="H18" i="4"/>
  <c r="B11" i="6"/>
  <c r="C89" i="6"/>
  <c r="C94" i="6"/>
  <c r="B48" i="6"/>
  <c r="B52" i="6"/>
  <c r="H19" i="1"/>
  <c r="B37" i="12"/>
  <c r="B21" i="5"/>
  <c r="D49" i="1"/>
  <c r="E59" i="6"/>
  <c r="F18" i="1"/>
  <c r="F10" i="1"/>
  <c r="G10" i="1"/>
  <c r="H10" i="1"/>
  <c r="E26" i="1"/>
  <c r="C44" i="1"/>
  <c r="D15" i="1"/>
  <c r="F23" i="1"/>
  <c r="G23" i="1"/>
  <c r="H23" i="1"/>
  <c r="E77" i="1"/>
  <c r="E10" i="7"/>
  <c r="D13" i="7"/>
  <c r="C71" i="1"/>
  <c r="B53" i="1"/>
  <c r="C42" i="1"/>
  <c r="D14" i="1"/>
  <c r="H11" i="1"/>
  <c r="B76" i="1"/>
  <c r="B22" i="1"/>
  <c r="C59" i="1"/>
  <c r="C48" i="1"/>
  <c r="B8" i="13"/>
  <c r="B13" i="5"/>
  <c r="H9" i="7"/>
  <c r="F10" i="7"/>
  <c r="D15" i="7"/>
  <c r="G11" i="7"/>
  <c r="B65" i="6"/>
  <c r="B67" i="6"/>
  <c r="F11" i="6"/>
  <c r="G11" i="6"/>
  <c r="H11" i="6"/>
  <c r="I11" i="6"/>
  <c r="J11" i="6"/>
  <c r="E12" i="4"/>
  <c r="F12" i="4"/>
  <c r="G12" i="4"/>
  <c r="H12" i="4"/>
  <c r="H19" i="4"/>
  <c r="D42" i="4"/>
  <c r="C62" i="4"/>
  <c r="C80" i="6"/>
  <c r="C82" i="6"/>
  <c r="C49" i="6"/>
  <c r="D66" i="4"/>
  <c r="G101" i="6"/>
  <c r="E77" i="4"/>
  <c r="B11" i="4"/>
  <c r="C11" i="4"/>
  <c r="B19" i="6"/>
  <c r="B22" i="6"/>
  <c r="B26" i="6"/>
  <c r="B29" i="6"/>
  <c r="B31" i="6"/>
  <c r="B38" i="6"/>
  <c r="B99" i="6"/>
  <c r="D49" i="4"/>
  <c r="F76" i="6"/>
  <c r="F78" i="6"/>
  <c r="C45" i="6"/>
  <c r="C28" i="4"/>
  <c r="B13" i="4"/>
  <c r="B34" i="4"/>
  <c r="D44" i="4"/>
  <c r="E60" i="4"/>
  <c r="G76" i="6"/>
  <c r="E42" i="4"/>
  <c r="F26" i="4"/>
  <c r="E44" i="4"/>
  <c r="G15" i="6"/>
  <c r="B20" i="5"/>
  <c r="B36" i="12"/>
  <c r="E56" i="6"/>
  <c r="D48" i="1"/>
  <c r="E50" i="6"/>
  <c r="C62" i="1"/>
  <c r="C37" i="12"/>
  <c r="B45" i="11"/>
  <c r="F77" i="1"/>
  <c r="F66" i="1"/>
  <c r="E27" i="1"/>
  <c r="G16" i="6"/>
  <c r="F26" i="1"/>
  <c r="E60" i="1"/>
  <c r="G77" i="6"/>
  <c r="G78" i="6"/>
  <c r="E60" i="6"/>
  <c r="D59" i="6"/>
  <c r="D60" i="6"/>
  <c r="E14" i="1"/>
  <c r="F14" i="1"/>
  <c r="G14" i="1"/>
  <c r="H14" i="1"/>
  <c r="D42" i="1"/>
  <c r="E13" i="7"/>
  <c r="E15" i="7"/>
  <c r="E49" i="1"/>
  <c r="F59" i="6"/>
  <c r="C28" i="1"/>
  <c r="E46" i="6"/>
  <c r="E15" i="1"/>
  <c r="F15" i="1"/>
  <c r="G15" i="1"/>
  <c r="H15" i="1"/>
  <c r="D44" i="1"/>
  <c r="G18" i="1"/>
  <c r="B17" i="5"/>
  <c r="C30" i="12"/>
  <c r="B16" i="5"/>
  <c r="D98" i="6"/>
  <c r="E98" i="6"/>
  <c r="F98" i="6"/>
  <c r="C15" i="13"/>
  <c r="B15" i="13"/>
  <c r="F13" i="7"/>
  <c r="F15" i="7"/>
  <c r="G10" i="7"/>
  <c r="G14" i="7"/>
  <c r="H11" i="7"/>
  <c r="H14" i="7"/>
  <c r="F21" i="6"/>
  <c r="D17" i="7"/>
  <c r="D16" i="11"/>
  <c r="D16" i="7"/>
  <c r="F42" i="4"/>
  <c r="G26" i="4"/>
  <c r="F44" i="4"/>
  <c r="H15" i="6"/>
  <c r="F60" i="4"/>
  <c r="H76" i="6"/>
  <c r="B12" i="6"/>
  <c r="B70" i="4"/>
  <c r="F58" i="6"/>
  <c r="E49" i="4"/>
  <c r="H101" i="6"/>
  <c r="E66" i="4"/>
  <c r="F77" i="4"/>
  <c r="F60" i="6"/>
  <c r="G45" i="6"/>
  <c r="E28" i="4"/>
  <c r="C23" i="6"/>
  <c r="C25" i="6"/>
  <c r="C79" i="6"/>
  <c r="C61" i="4"/>
  <c r="C64" i="4"/>
  <c r="C84" i="6"/>
  <c r="C86" i="6"/>
  <c r="B102" i="6"/>
  <c r="D28" i="4"/>
  <c r="F45" i="6"/>
  <c r="C47" i="6"/>
  <c r="E45" i="6"/>
  <c r="D45" i="6"/>
  <c r="C27" i="4"/>
  <c r="D11" i="4"/>
  <c r="E62" i="4"/>
  <c r="G80" i="6"/>
  <c r="G49" i="6"/>
  <c r="D62" i="4"/>
  <c r="F80" i="6"/>
  <c r="F49" i="6"/>
  <c r="B37" i="4"/>
  <c r="B20" i="4"/>
  <c r="C20" i="4"/>
  <c r="D20" i="4"/>
  <c r="E20" i="4"/>
  <c r="F20" i="4"/>
  <c r="G20" i="4"/>
  <c r="H20" i="4"/>
  <c r="E49" i="6"/>
  <c r="D49" i="6"/>
  <c r="C51" i="6"/>
  <c r="F50" i="6"/>
  <c r="F51" i="6"/>
  <c r="D62" i="1"/>
  <c r="H18" i="1"/>
  <c r="D46" i="6"/>
  <c r="D47" i="6"/>
  <c r="E42" i="1"/>
  <c r="G17" i="6"/>
  <c r="G18" i="6"/>
  <c r="F56" i="6"/>
  <c r="C61" i="1"/>
  <c r="C64" i="1"/>
  <c r="C29" i="1"/>
  <c r="C70" i="1"/>
  <c r="C72" i="1"/>
  <c r="F49" i="1"/>
  <c r="G59" i="6"/>
  <c r="G20" i="6"/>
  <c r="E59" i="1"/>
  <c r="G74" i="6"/>
  <c r="D56" i="6"/>
  <c r="E16" i="7"/>
  <c r="E17" i="7"/>
  <c r="E16" i="11"/>
  <c r="G21" i="6"/>
  <c r="F60" i="1"/>
  <c r="H77" i="6"/>
  <c r="H78" i="6"/>
  <c r="F44" i="1"/>
  <c r="F42" i="1"/>
  <c r="G26" i="1"/>
  <c r="H16" i="6"/>
  <c r="F27" i="1"/>
  <c r="B44" i="11"/>
  <c r="C36" i="12"/>
  <c r="D28" i="1"/>
  <c r="F46" i="6"/>
  <c r="F47" i="6"/>
  <c r="E44" i="1"/>
  <c r="G77" i="1"/>
  <c r="G66" i="1"/>
  <c r="D50" i="6"/>
  <c r="D51" i="6"/>
  <c r="G98" i="6"/>
  <c r="F88" i="6"/>
  <c r="F89" i="6"/>
  <c r="B18" i="5"/>
  <c r="H10" i="7"/>
  <c r="G13" i="7"/>
  <c r="G15" i="7"/>
  <c r="F16" i="7"/>
  <c r="F17" i="7"/>
  <c r="F16" i="11"/>
  <c r="H21" i="6"/>
  <c r="E51" i="6"/>
  <c r="I101" i="6"/>
  <c r="G77" i="4"/>
  <c r="F66" i="4"/>
  <c r="D61" i="4"/>
  <c r="F23" i="6"/>
  <c r="D64" i="4"/>
  <c r="F84" i="6"/>
  <c r="F62" i="4"/>
  <c r="H80" i="6"/>
  <c r="H49" i="6"/>
  <c r="E11" i="4"/>
  <c r="D27" i="4"/>
  <c r="G23" i="6"/>
  <c r="E61" i="4"/>
  <c r="E64" i="4"/>
  <c r="G84" i="6"/>
  <c r="E47" i="6"/>
  <c r="C19" i="6"/>
  <c r="C22" i="6"/>
  <c r="C26" i="6"/>
  <c r="C93" i="6"/>
  <c r="C95" i="6"/>
  <c r="C59" i="4"/>
  <c r="C29" i="4"/>
  <c r="C70" i="4"/>
  <c r="C72" i="4"/>
  <c r="H26" i="4"/>
  <c r="G44" i="4"/>
  <c r="G42" i="4"/>
  <c r="I15" i="6"/>
  <c r="G60" i="4"/>
  <c r="I76" i="6"/>
  <c r="B76" i="4"/>
  <c r="B21" i="4"/>
  <c r="C21" i="4"/>
  <c r="D21" i="4"/>
  <c r="E21" i="4"/>
  <c r="F21" i="4"/>
  <c r="G21" i="4"/>
  <c r="H21" i="4"/>
  <c r="G58" i="6"/>
  <c r="G60" i="6"/>
  <c r="F49" i="4"/>
  <c r="H45" i="6"/>
  <c r="F28" i="4"/>
  <c r="E62" i="1"/>
  <c r="G50" i="6"/>
  <c r="G51" i="6"/>
  <c r="F81" i="6"/>
  <c r="F82" i="6"/>
  <c r="D19" i="11"/>
  <c r="H13" i="7"/>
  <c r="H15" i="7"/>
  <c r="H46" i="6"/>
  <c r="H47" i="6"/>
  <c r="F28" i="1"/>
  <c r="H59" i="6"/>
  <c r="F29" i="1"/>
  <c r="H20" i="6"/>
  <c r="F59" i="1"/>
  <c r="H74" i="6"/>
  <c r="D64" i="1"/>
  <c r="D61" i="1"/>
  <c r="D18" i="11"/>
  <c r="F24" i="6"/>
  <c r="F25" i="6"/>
  <c r="D29" i="1"/>
  <c r="H17" i="6"/>
  <c r="H18" i="6"/>
  <c r="G46" i="6"/>
  <c r="G47" i="6"/>
  <c r="E28" i="1"/>
  <c r="H50" i="6"/>
  <c r="H51" i="6"/>
  <c r="F62" i="1"/>
  <c r="E48" i="1"/>
  <c r="H77" i="1"/>
  <c r="H66" i="1"/>
  <c r="G42" i="1"/>
  <c r="H26" i="1"/>
  <c r="I16" i="6"/>
  <c r="I17" i="6"/>
  <c r="I18" i="6"/>
  <c r="G44" i="1"/>
  <c r="G60" i="1"/>
  <c r="I77" i="6"/>
  <c r="G27" i="1"/>
  <c r="H98" i="6"/>
  <c r="G88" i="6"/>
  <c r="G89" i="6"/>
  <c r="H16" i="7"/>
  <c r="H17" i="7"/>
  <c r="H16" i="11"/>
  <c r="J21" i="6"/>
  <c r="I21" i="6"/>
  <c r="G16" i="7"/>
  <c r="G17" i="7"/>
  <c r="G16" i="11"/>
  <c r="I78" i="6"/>
  <c r="C48" i="4"/>
  <c r="C73" i="6"/>
  <c r="C75" i="6"/>
  <c r="F11" i="4"/>
  <c r="E27" i="4"/>
  <c r="H23" i="6"/>
  <c r="F64" i="4"/>
  <c r="H84" i="6"/>
  <c r="F61" i="4"/>
  <c r="I45" i="6"/>
  <c r="G28" i="4"/>
  <c r="G66" i="4"/>
  <c r="J101" i="6"/>
  <c r="H77" i="4"/>
  <c r="H66" i="4"/>
  <c r="B22" i="4"/>
  <c r="B100" i="6"/>
  <c r="I49" i="6"/>
  <c r="G62" i="4"/>
  <c r="I80" i="6"/>
  <c r="H58" i="6"/>
  <c r="H60" i="6"/>
  <c r="G49" i="4"/>
  <c r="H42" i="4"/>
  <c r="H44" i="4"/>
  <c r="J15" i="6"/>
  <c r="H60" i="4"/>
  <c r="J76" i="6"/>
  <c r="F19" i="6"/>
  <c r="D29" i="4"/>
  <c r="D70" i="4"/>
  <c r="D59" i="4"/>
  <c r="F73" i="6"/>
  <c r="F75" i="6"/>
  <c r="G24" i="6"/>
  <c r="G25" i="6"/>
  <c r="G79" i="6"/>
  <c r="E61" i="1"/>
  <c r="E18" i="11"/>
  <c r="E64" i="1"/>
  <c r="E29" i="1"/>
  <c r="D70" i="1"/>
  <c r="D13" i="11"/>
  <c r="G62" i="1"/>
  <c r="I50" i="6"/>
  <c r="I51" i="6"/>
  <c r="D20" i="11"/>
  <c r="F85" i="6"/>
  <c r="F86" i="6"/>
  <c r="G49" i="1"/>
  <c r="G29" i="1"/>
  <c r="I20" i="6"/>
  <c r="G59" i="1"/>
  <c r="I74" i="6"/>
  <c r="H44" i="1"/>
  <c r="H42" i="1"/>
  <c r="J16" i="6"/>
  <c r="J17" i="6"/>
  <c r="H60" i="1"/>
  <c r="J77" i="6"/>
  <c r="J78" i="6"/>
  <c r="H27" i="1"/>
  <c r="F48" i="1"/>
  <c r="G56" i="6"/>
  <c r="F79" i="6"/>
  <c r="H24" i="6"/>
  <c r="H25" i="6"/>
  <c r="H79" i="6"/>
  <c r="F61" i="1"/>
  <c r="F18" i="11"/>
  <c r="F64" i="1"/>
  <c r="G28" i="1"/>
  <c r="I46" i="6"/>
  <c r="I47" i="6"/>
  <c r="F19" i="11"/>
  <c r="H81" i="6"/>
  <c r="H82" i="6"/>
  <c r="F70" i="1"/>
  <c r="F13" i="11"/>
  <c r="G81" i="6"/>
  <c r="G82" i="6"/>
  <c r="E19" i="11"/>
  <c r="H88" i="6"/>
  <c r="H89" i="6"/>
  <c r="I98" i="6"/>
  <c r="J18" i="6"/>
  <c r="H62" i="4"/>
  <c r="J80" i="6"/>
  <c r="J49" i="6"/>
  <c r="E59" i="4"/>
  <c r="G73" i="6"/>
  <c r="G75" i="6"/>
  <c r="E29" i="4"/>
  <c r="E70" i="4"/>
  <c r="G19" i="6"/>
  <c r="F12" i="6"/>
  <c r="F22" i="6"/>
  <c r="F26" i="6"/>
  <c r="H28" i="4"/>
  <c r="J45" i="6"/>
  <c r="G11" i="4"/>
  <c r="F27" i="4"/>
  <c r="H49" i="4"/>
  <c r="J58" i="6"/>
  <c r="I58" i="6"/>
  <c r="G64" i="4"/>
  <c r="I84" i="6"/>
  <c r="I23" i="6"/>
  <c r="G61" i="4"/>
  <c r="D48" i="4"/>
  <c r="C55" i="6"/>
  <c r="F14" i="11"/>
  <c r="F15" i="11"/>
  <c r="F17" i="11"/>
  <c r="F21" i="11"/>
  <c r="J46" i="6"/>
  <c r="J47" i="6"/>
  <c r="H28" i="1"/>
  <c r="G70" i="1"/>
  <c r="G13" i="11"/>
  <c r="G14" i="11"/>
  <c r="G15" i="11"/>
  <c r="G17" i="11"/>
  <c r="G64" i="1"/>
  <c r="G61" i="1"/>
  <c r="G18" i="11"/>
  <c r="I24" i="6"/>
  <c r="I25" i="6"/>
  <c r="I79" i="6"/>
  <c r="F93" i="6"/>
  <c r="F29" i="6"/>
  <c r="J20" i="6"/>
  <c r="H29" i="1"/>
  <c r="H59" i="1"/>
  <c r="J74" i="6"/>
  <c r="H62" i="1"/>
  <c r="J50" i="6"/>
  <c r="D14" i="11"/>
  <c r="D15" i="11"/>
  <c r="D17" i="11"/>
  <c r="D21" i="11"/>
  <c r="F20" i="11"/>
  <c r="H85" i="6"/>
  <c r="H86" i="6"/>
  <c r="H49" i="1"/>
  <c r="J59" i="6"/>
  <c r="J60" i="6"/>
  <c r="I59" i="6"/>
  <c r="I60" i="6"/>
  <c r="I81" i="6"/>
  <c r="I82" i="6"/>
  <c r="G19" i="11"/>
  <c r="E70" i="1"/>
  <c r="E13" i="11"/>
  <c r="H56" i="6"/>
  <c r="G48" i="1"/>
  <c r="E20" i="11"/>
  <c r="G85" i="6"/>
  <c r="G86" i="6"/>
  <c r="I88" i="6"/>
  <c r="I89" i="6"/>
  <c r="J98" i="6"/>
  <c r="J88" i="6"/>
  <c r="J89" i="6"/>
  <c r="J51" i="6"/>
  <c r="E55" i="6"/>
  <c r="C57" i="6"/>
  <c r="H61" i="4"/>
  <c r="J23" i="6"/>
  <c r="H64" i="4"/>
  <c r="J84" i="6"/>
  <c r="F30" i="6"/>
  <c r="F31" i="6"/>
  <c r="F55" i="6"/>
  <c r="F57" i="6"/>
  <c r="E48" i="4"/>
  <c r="F29" i="4"/>
  <c r="F70" i="4"/>
  <c r="F59" i="4"/>
  <c r="H73" i="6"/>
  <c r="H75" i="6"/>
  <c r="H19" i="6"/>
  <c r="G27" i="4"/>
  <c r="H11" i="4"/>
  <c r="H27" i="4"/>
  <c r="G12" i="6"/>
  <c r="G22" i="6"/>
  <c r="G26" i="6"/>
  <c r="H48" i="1"/>
  <c r="J56" i="6"/>
  <c r="I56" i="6"/>
  <c r="E14" i="11"/>
  <c r="E15" i="11"/>
  <c r="E17" i="11"/>
  <c r="E21" i="11"/>
  <c r="J81" i="6"/>
  <c r="J82" i="6"/>
  <c r="H19" i="11"/>
  <c r="I85" i="6"/>
  <c r="I86" i="6"/>
  <c r="G20" i="11"/>
  <c r="H61" i="1"/>
  <c r="H18" i="11"/>
  <c r="J24" i="6"/>
  <c r="J25" i="6"/>
  <c r="J79" i="6"/>
  <c r="H64" i="1"/>
  <c r="H70" i="1"/>
  <c r="H13" i="11"/>
  <c r="H14" i="11"/>
  <c r="H15" i="11"/>
  <c r="H17" i="11"/>
  <c r="G21" i="11"/>
  <c r="J19" i="6"/>
  <c r="H29" i="4"/>
  <c r="H70" i="4"/>
  <c r="H59" i="4"/>
  <c r="J73" i="6"/>
  <c r="J75" i="6"/>
  <c r="I19" i="6"/>
  <c r="G29" i="4"/>
  <c r="G70" i="4"/>
  <c r="G59" i="4"/>
  <c r="I73" i="6"/>
  <c r="I75" i="6"/>
  <c r="G55" i="6"/>
  <c r="G57" i="6"/>
  <c r="F48" i="4"/>
  <c r="D55" i="6"/>
  <c r="D57" i="6"/>
  <c r="E57" i="6"/>
  <c r="G29" i="6"/>
  <c r="G30" i="6"/>
  <c r="G31" i="6"/>
  <c r="G93" i="6"/>
  <c r="H12" i="6"/>
  <c r="H22" i="6"/>
  <c r="H26" i="6"/>
  <c r="I17" i="11"/>
  <c r="I21" i="11"/>
  <c r="H21" i="11"/>
  <c r="H20" i="11"/>
  <c r="J85" i="6"/>
  <c r="J86" i="6"/>
  <c r="H93" i="6"/>
  <c r="H29" i="6"/>
  <c r="H30" i="6"/>
  <c r="H31" i="6"/>
  <c r="G48" i="4"/>
  <c r="H55" i="6"/>
  <c r="H57" i="6"/>
  <c r="I22" i="6"/>
  <c r="I26" i="6"/>
  <c r="I12" i="6"/>
  <c r="J12" i="6"/>
  <c r="J22" i="6"/>
  <c r="J26" i="6"/>
  <c r="J93" i="6"/>
  <c r="H48" i="4"/>
  <c r="J55" i="6"/>
  <c r="J57" i="6"/>
  <c r="I55" i="6"/>
  <c r="I57" i="6"/>
  <c r="J29" i="6"/>
  <c r="J30" i="6"/>
  <c r="J31" i="6"/>
  <c r="I93" i="6"/>
  <c r="I29" i="6"/>
  <c r="I30" i="6"/>
  <c r="I31" i="6"/>
  <c r="C7" i="4"/>
  <c r="C9" i="6" s="1"/>
  <c r="C7" i="1" l="1"/>
  <c r="D7" i="4"/>
  <c r="E7" i="4" l="1"/>
  <c r="F9" i="6"/>
  <c r="D7" i="1"/>
  <c r="C7" i="7"/>
  <c r="B11" i="13"/>
  <c r="D7" i="7" l="1"/>
  <c r="C11" i="13"/>
  <c r="D6" i="11"/>
  <c r="F7" i="4"/>
  <c r="E7" i="1"/>
  <c r="G9" i="6"/>
  <c r="G7" i="4" l="1"/>
  <c r="H9" i="6"/>
  <c r="F7" i="1"/>
  <c r="E6" i="11"/>
  <c r="E7" i="7"/>
  <c r="F7" i="7" l="1"/>
  <c r="F6" i="11"/>
  <c r="I9" i="6"/>
  <c r="G7" i="1"/>
  <c r="H7" i="4"/>
  <c r="G7" i="7" l="1"/>
  <c r="G6" i="11"/>
  <c r="H7" i="1"/>
  <c r="J9" i="6"/>
  <c r="H6" i="11" l="1"/>
  <c r="H7" i="7"/>
  <c r="C16" i="4"/>
  <c r="D16" i="4"/>
  <c r="E16" i="4"/>
  <c r="F16" i="4"/>
  <c r="G16" i="4"/>
  <c r="H16" i="4"/>
  <c r="C22" i="4"/>
  <c r="D22" i="4"/>
  <c r="E22" i="4"/>
  <c r="F22" i="4"/>
  <c r="G22" i="4"/>
  <c r="H22" i="4"/>
  <c r="C31" i="4"/>
  <c r="D31" i="4"/>
  <c r="E31" i="4"/>
  <c r="F31" i="4"/>
  <c r="G31" i="4"/>
  <c r="H31" i="4"/>
  <c r="C32" i="4"/>
  <c r="D32" i="4"/>
  <c r="E32" i="4"/>
  <c r="F32" i="4"/>
  <c r="G32" i="4"/>
  <c r="H32" i="4"/>
  <c r="C33" i="4"/>
  <c r="D33" i="4"/>
  <c r="E33" i="4"/>
  <c r="F33" i="4"/>
  <c r="G33" i="4"/>
  <c r="H33" i="4"/>
  <c r="C34" i="4"/>
  <c r="D34" i="4"/>
  <c r="E34" i="4"/>
  <c r="F34" i="4"/>
  <c r="G34" i="4"/>
  <c r="H34" i="4"/>
  <c r="C35" i="4"/>
  <c r="D35" i="4"/>
  <c r="E35" i="4"/>
  <c r="F35" i="4"/>
  <c r="G35" i="4"/>
  <c r="H35" i="4"/>
  <c r="C36" i="4"/>
  <c r="D36" i="4"/>
  <c r="E36" i="4"/>
  <c r="F36" i="4"/>
  <c r="G36" i="4"/>
  <c r="H36" i="4"/>
  <c r="C37" i="4"/>
  <c r="D37" i="4"/>
  <c r="E37" i="4"/>
  <c r="F37" i="4"/>
  <c r="G37" i="4"/>
  <c r="H37" i="4"/>
  <c r="C40" i="4"/>
  <c r="D40" i="4"/>
  <c r="E40" i="4"/>
  <c r="F40" i="4"/>
  <c r="G40" i="4"/>
  <c r="H40" i="4"/>
  <c r="C43" i="4"/>
  <c r="D43" i="4"/>
  <c r="E43" i="4"/>
  <c r="F43" i="4"/>
  <c r="G43" i="4"/>
  <c r="H43" i="4"/>
  <c r="C45" i="4"/>
  <c r="D45" i="4"/>
  <c r="E45" i="4"/>
  <c r="F45" i="4"/>
  <c r="G45" i="4"/>
  <c r="H45" i="4"/>
  <c r="C47" i="4"/>
  <c r="D47" i="4"/>
  <c r="E47" i="4"/>
  <c r="F47" i="4"/>
  <c r="G47" i="4"/>
  <c r="H47" i="4"/>
  <c r="C50" i="4"/>
  <c r="D50" i="4"/>
  <c r="E50" i="4"/>
  <c r="F50" i="4"/>
  <c r="G50" i="4"/>
  <c r="H50" i="4"/>
  <c r="C51" i="4"/>
  <c r="D51" i="4"/>
  <c r="E51" i="4"/>
  <c r="F51" i="4"/>
  <c r="G51" i="4"/>
  <c r="H51" i="4"/>
  <c r="C52" i="4"/>
  <c r="D52" i="4"/>
  <c r="E52" i="4"/>
  <c r="F52" i="4"/>
  <c r="G52" i="4"/>
  <c r="H52" i="4"/>
  <c r="C53" i="4"/>
  <c r="D53" i="4"/>
  <c r="E53" i="4"/>
  <c r="F53" i="4"/>
  <c r="G53" i="4"/>
  <c r="H53" i="4"/>
  <c r="C56" i="4"/>
  <c r="D56" i="4"/>
  <c r="E56" i="4"/>
  <c r="F56" i="4"/>
  <c r="G56" i="4"/>
  <c r="H56" i="4"/>
  <c r="C57" i="4"/>
  <c r="D57" i="4"/>
  <c r="E57" i="4"/>
  <c r="F57" i="4"/>
  <c r="G57" i="4"/>
  <c r="H57" i="4"/>
  <c r="C58" i="4"/>
  <c r="D58" i="4"/>
  <c r="E58" i="4"/>
  <c r="F58" i="4"/>
  <c r="G58" i="4"/>
  <c r="H58" i="4"/>
  <c r="C63" i="4"/>
  <c r="D63" i="4"/>
  <c r="E63" i="4"/>
  <c r="F63" i="4"/>
  <c r="G63" i="4"/>
  <c r="H63" i="4"/>
  <c r="C67" i="4"/>
  <c r="D67" i="4"/>
  <c r="E67" i="4"/>
  <c r="F67" i="4"/>
  <c r="G67" i="4"/>
  <c r="H67" i="4"/>
  <c r="D71" i="4"/>
  <c r="E71" i="4"/>
  <c r="F71" i="4"/>
  <c r="G71" i="4"/>
  <c r="H71" i="4"/>
  <c r="D72" i="4"/>
  <c r="E72" i="4"/>
  <c r="F72" i="4"/>
  <c r="G72" i="4"/>
  <c r="H72" i="4"/>
  <c r="C76" i="4"/>
  <c r="D76" i="4"/>
  <c r="E76" i="4"/>
  <c r="F76" i="4"/>
  <c r="G76" i="4"/>
  <c r="H76" i="4"/>
  <c r="B19" i="5"/>
  <c r="B22" i="5"/>
  <c r="B23" i="5"/>
  <c r="B25" i="5"/>
  <c r="B27" i="5"/>
  <c r="B29" i="5"/>
  <c r="B30" i="5"/>
  <c r="C28" i="6"/>
  <c r="C29" i="6"/>
  <c r="C30" i="6"/>
  <c r="C31" i="6"/>
  <c r="C32" i="6"/>
  <c r="F32" i="6"/>
  <c r="G32" i="6"/>
  <c r="H32" i="6"/>
  <c r="I32" i="6"/>
  <c r="J32" i="6"/>
  <c r="F33" i="6"/>
  <c r="G33" i="6"/>
  <c r="H33" i="6"/>
  <c r="I33" i="6"/>
  <c r="J33" i="6"/>
  <c r="C34" i="6"/>
  <c r="F34" i="6"/>
  <c r="G34" i="6"/>
  <c r="H34" i="6"/>
  <c r="I34" i="6"/>
  <c r="J34" i="6"/>
  <c r="C35" i="6"/>
  <c r="F35" i="6"/>
  <c r="G35" i="6"/>
  <c r="H35" i="6"/>
  <c r="I35" i="6"/>
  <c r="J35" i="6"/>
  <c r="F36" i="6"/>
  <c r="G36" i="6"/>
  <c r="H36" i="6"/>
  <c r="I36" i="6"/>
  <c r="J36" i="6"/>
  <c r="C37" i="6"/>
  <c r="F37" i="6"/>
  <c r="G37" i="6"/>
  <c r="H37" i="6"/>
  <c r="I37" i="6"/>
  <c r="J37" i="6"/>
  <c r="C38" i="6"/>
  <c r="F38" i="6"/>
  <c r="G38" i="6"/>
  <c r="H38" i="6"/>
  <c r="I38" i="6"/>
  <c r="J38" i="6"/>
  <c r="C41" i="6"/>
  <c r="D41" i="6"/>
  <c r="E41" i="6"/>
  <c r="F41" i="6"/>
  <c r="G41" i="6"/>
  <c r="H41" i="6"/>
  <c r="I41" i="6"/>
  <c r="J41" i="6"/>
  <c r="D42" i="6"/>
  <c r="E42" i="6"/>
  <c r="F42" i="6"/>
  <c r="G42" i="6"/>
  <c r="H42" i="6"/>
  <c r="I42" i="6"/>
  <c r="J42" i="6"/>
  <c r="C43" i="6"/>
  <c r="D43" i="6"/>
  <c r="E43" i="6"/>
  <c r="F43" i="6"/>
  <c r="G43" i="6"/>
  <c r="H43" i="6"/>
  <c r="I43" i="6"/>
  <c r="J43" i="6"/>
  <c r="D44" i="6"/>
  <c r="E44" i="6"/>
  <c r="F44" i="6"/>
  <c r="G44" i="6"/>
  <c r="H44" i="6"/>
  <c r="I44" i="6"/>
  <c r="J44" i="6"/>
  <c r="C48" i="6"/>
  <c r="D48" i="6"/>
  <c r="E48" i="6"/>
  <c r="F48" i="6"/>
  <c r="G48" i="6"/>
  <c r="H48" i="6"/>
  <c r="I48" i="6"/>
  <c r="J48" i="6"/>
  <c r="C52" i="6"/>
  <c r="D52" i="6"/>
  <c r="E52" i="6"/>
  <c r="F52" i="6"/>
  <c r="G52" i="6"/>
  <c r="H52" i="6"/>
  <c r="I52" i="6"/>
  <c r="J52" i="6"/>
  <c r="C54" i="6"/>
  <c r="D54" i="6"/>
  <c r="E54" i="6"/>
  <c r="F54" i="6"/>
  <c r="G54" i="6"/>
  <c r="H54" i="6"/>
  <c r="I54" i="6"/>
  <c r="J54" i="6"/>
  <c r="C61" i="6"/>
  <c r="D61" i="6"/>
  <c r="E61" i="6"/>
  <c r="F61" i="6"/>
  <c r="G61" i="6"/>
  <c r="H61" i="6"/>
  <c r="I61" i="6"/>
  <c r="J61" i="6"/>
  <c r="D62" i="6"/>
  <c r="E62" i="6"/>
  <c r="F62" i="6"/>
  <c r="G62" i="6"/>
  <c r="H62" i="6"/>
  <c r="I62" i="6"/>
  <c r="J62" i="6"/>
  <c r="C63" i="6"/>
  <c r="D63" i="6"/>
  <c r="E63" i="6"/>
  <c r="F63" i="6"/>
  <c r="G63" i="6"/>
  <c r="H63" i="6"/>
  <c r="I63" i="6"/>
  <c r="J63" i="6"/>
  <c r="C64" i="6"/>
  <c r="D64" i="6"/>
  <c r="E64" i="6"/>
  <c r="F64" i="6"/>
  <c r="G64" i="6"/>
  <c r="H64" i="6"/>
  <c r="I64" i="6"/>
  <c r="J64" i="6"/>
  <c r="C65" i="6"/>
  <c r="D65" i="6"/>
  <c r="E65" i="6"/>
  <c r="F65" i="6"/>
  <c r="G65" i="6"/>
  <c r="H65" i="6"/>
  <c r="I65" i="6"/>
  <c r="J65" i="6"/>
  <c r="C66" i="6"/>
  <c r="E66" i="6"/>
  <c r="F66" i="6"/>
  <c r="G66" i="6"/>
  <c r="H66" i="6"/>
  <c r="I66" i="6"/>
  <c r="J66" i="6"/>
  <c r="C67" i="6"/>
  <c r="E67" i="6"/>
  <c r="F67" i="6"/>
  <c r="G67" i="6"/>
  <c r="H67" i="6"/>
  <c r="I67" i="6"/>
  <c r="J67" i="6"/>
  <c r="C70" i="6"/>
  <c r="F70" i="6"/>
  <c r="G70" i="6"/>
  <c r="H70" i="6"/>
  <c r="I70" i="6"/>
  <c r="J70" i="6"/>
  <c r="C71" i="6"/>
  <c r="F71" i="6"/>
  <c r="G71" i="6"/>
  <c r="H71" i="6"/>
  <c r="I71" i="6"/>
  <c r="J71" i="6"/>
  <c r="C72" i="6"/>
  <c r="F72" i="6"/>
  <c r="G72" i="6"/>
  <c r="H72" i="6"/>
  <c r="I72" i="6"/>
  <c r="J72" i="6"/>
  <c r="C83" i="6"/>
  <c r="F83" i="6"/>
  <c r="G83" i="6"/>
  <c r="H83" i="6"/>
  <c r="I83" i="6"/>
  <c r="J83" i="6"/>
  <c r="C90" i="6"/>
  <c r="F90" i="6"/>
  <c r="G90" i="6"/>
  <c r="H90" i="6"/>
  <c r="I90" i="6"/>
  <c r="J90" i="6"/>
  <c r="F94" i="6"/>
  <c r="G94" i="6"/>
  <c r="H94" i="6"/>
  <c r="I94" i="6"/>
  <c r="J94" i="6"/>
  <c r="F95" i="6"/>
  <c r="G95" i="6"/>
  <c r="H95" i="6"/>
  <c r="I95" i="6"/>
  <c r="J95" i="6"/>
  <c r="C99" i="6"/>
  <c r="F99" i="6"/>
  <c r="G99" i="6"/>
  <c r="H99" i="6"/>
  <c r="I99" i="6"/>
  <c r="J99" i="6"/>
  <c r="C100" i="6"/>
  <c r="F100" i="6"/>
  <c r="G100" i="6"/>
  <c r="H100" i="6"/>
  <c r="I100" i="6"/>
  <c r="J100" i="6"/>
  <c r="C102" i="6"/>
  <c r="F102" i="6"/>
  <c r="G102" i="6"/>
  <c r="H102" i="6"/>
  <c r="I102" i="6"/>
  <c r="J102" i="6"/>
  <c r="B9" i="13"/>
  <c r="B14" i="13"/>
  <c r="C14" i="13"/>
  <c r="B16" i="13"/>
  <c r="C16" i="13"/>
  <c r="B19" i="13"/>
  <c r="C19" i="13"/>
  <c r="B20" i="13"/>
  <c r="C20" i="13"/>
  <c r="B21" i="13"/>
  <c r="C21" i="13"/>
  <c r="C16" i="1"/>
  <c r="D16" i="1"/>
  <c r="E16" i="1"/>
  <c r="F16" i="1"/>
  <c r="G16" i="1"/>
  <c r="H16" i="1"/>
  <c r="C22" i="1"/>
  <c r="D22" i="1"/>
  <c r="E22" i="1"/>
  <c r="F22" i="1"/>
  <c r="G22" i="1"/>
  <c r="H22" i="1"/>
  <c r="C31" i="1"/>
  <c r="D31" i="1"/>
  <c r="E31" i="1"/>
  <c r="F31" i="1"/>
  <c r="G31" i="1"/>
  <c r="H31" i="1"/>
  <c r="C32" i="1"/>
  <c r="D32" i="1"/>
  <c r="E32" i="1"/>
  <c r="F32" i="1"/>
  <c r="G32" i="1"/>
  <c r="H32" i="1"/>
  <c r="C33" i="1"/>
  <c r="D33" i="1"/>
  <c r="E33" i="1"/>
  <c r="F33" i="1"/>
  <c r="G33" i="1"/>
  <c r="H33" i="1"/>
  <c r="C34" i="1"/>
  <c r="D34" i="1"/>
  <c r="E34" i="1"/>
  <c r="F34" i="1"/>
  <c r="G34" i="1"/>
  <c r="H34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40" i="1"/>
  <c r="D40" i="1"/>
  <c r="E40" i="1"/>
  <c r="F40" i="1"/>
  <c r="G40" i="1"/>
  <c r="H40" i="1"/>
  <c r="C43" i="1"/>
  <c r="D43" i="1"/>
  <c r="E43" i="1"/>
  <c r="F43" i="1"/>
  <c r="G43" i="1"/>
  <c r="H43" i="1"/>
  <c r="C45" i="1"/>
  <c r="D45" i="1"/>
  <c r="E45" i="1"/>
  <c r="F45" i="1"/>
  <c r="G45" i="1"/>
  <c r="H45" i="1"/>
  <c r="C47" i="1"/>
  <c r="D47" i="1"/>
  <c r="E47" i="1"/>
  <c r="F47" i="1"/>
  <c r="G47" i="1"/>
  <c r="H47" i="1"/>
  <c r="C50" i="1"/>
  <c r="D50" i="1"/>
  <c r="E50" i="1"/>
  <c r="F50" i="1"/>
  <c r="G50" i="1"/>
  <c r="H50" i="1"/>
  <c r="C51" i="1"/>
  <c r="D51" i="1"/>
  <c r="E51" i="1"/>
  <c r="F51" i="1"/>
  <c r="G51" i="1"/>
  <c r="H51" i="1"/>
  <c r="C52" i="1"/>
  <c r="D52" i="1"/>
  <c r="E52" i="1"/>
  <c r="F52" i="1"/>
  <c r="G52" i="1"/>
  <c r="H52" i="1"/>
  <c r="C53" i="1"/>
  <c r="D53" i="1"/>
  <c r="E53" i="1"/>
  <c r="F53" i="1"/>
  <c r="G53" i="1"/>
  <c r="H53" i="1"/>
  <c r="C56" i="1"/>
  <c r="D56" i="1"/>
  <c r="E56" i="1"/>
  <c r="F56" i="1"/>
  <c r="G56" i="1"/>
  <c r="H56" i="1"/>
  <c r="C57" i="1"/>
  <c r="D57" i="1"/>
  <c r="E57" i="1"/>
  <c r="F57" i="1"/>
  <c r="G57" i="1"/>
  <c r="H57" i="1"/>
  <c r="C58" i="1"/>
  <c r="D58" i="1"/>
  <c r="E58" i="1"/>
  <c r="F58" i="1"/>
  <c r="G58" i="1"/>
  <c r="H58" i="1"/>
  <c r="C63" i="1"/>
  <c r="D63" i="1"/>
  <c r="E63" i="1"/>
  <c r="F63" i="1"/>
  <c r="G63" i="1"/>
  <c r="H63" i="1"/>
  <c r="C67" i="1"/>
  <c r="D67" i="1"/>
  <c r="E67" i="1"/>
  <c r="F67" i="1"/>
  <c r="G67" i="1"/>
  <c r="H67" i="1"/>
  <c r="D71" i="1"/>
  <c r="E71" i="1"/>
  <c r="F71" i="1"/>
  <c r="G71" i="1"/>
  <c r="H71" i="1"/>
  <c r="D72" i="1"/>
  <c r="E72" i="1"/>
  <c r="F72" i="1"/>
  <c r="G72" i="1"/>
  <c r="H72" i="1"/>
  <c r="C76" i="1"/>
  <c r="D76" i="1"/>
  <c r="E76" i="1"/>
  <c r="F76" i="1"/>
  <c r="G76" i="1"/>
  <c r="H76" i="1"/>
  <c r="B9" i="11"/>
  <c r="D22" i="11"/>
  <c r="E22" i="11"/>
  <c r="F22" i="11"/>
  <c r="G22" i="11"/>
  <c r="H22" i="11"/>
  <c r="I22" i="11"/>
  <c r="D23" i="11"/>
  <c r="E23" i="11"/>
  <c r="F23" i="11"/>
  <c r="G23" i="11"/>
  <c r="H23" i="11"/>
  <c r="I23" i="11"/>
  <c r="D24" i="11"/>
  <c r="E24" i="11"/>
  <c r="F24" i="11"/>
  <c r="G24" i="11"/>
  <c r="H24" i="11"/>
  <c r="I24" i="11"/>
  <c r="D25" i="11"/>
  <c r="E25" i="11"/>
  <c r="F25" i="11"/>
  <c r="G25" i="11"/>
  <c r="H25" i="11"/>
  <c r="I25" i="11"/>
  <c r="D26" i="11"/>
  <c r="E26" i="11"/>
  <c r="F26" i="11"/>
  <c r="G26" i="11"/>
  <c r="H26" i="11"/>
  <c r="I26" i="11"/>
  <c r="B29" i="11"/>
  <c r="C29" i="11"/>
  <c r="B30" i="11"/>
  <c r="C30" i="11"/>
  <c r="B31" i="11"/>
  <c r="C31" i="11"/>
  <c r="B34" i="11"/>
  <c r="C34" i="11"/>
  <c r="B35" i="11"/>
  <c r="C35" i="11"/>
  <c r="B36" i="11"/>
  <c r="C36" i="11"/>
  <c r="B37" i="11"/>
  <c r="C37" i="11"/>
  <c r="B38" i="11"/>
  <c r="C38" i="11"/>
  <c r="B41" i="11"/>
  <c r="B42" i="11"/>
  <c r="B43" i="11"/>
  <c r="B46" i="11"/>
  <c r="B49" i="11"/>
  <c r="B51" i="11"/>
  <c r="C13" i="12"/>
  <c r="C14" i="12"/>
  <c r="B15" i="12"/>
  <c r="C15" i="12"/>
  <c r="B31" i="12"/>
  <c r="C31" i="12"/>
  <c r="B32" i="12"/>
  <c r="C32" i="12"/>
  <c r="B33" i="12"/>
  <c r="C33" i="12"/>
  <c r="B35" i="12"/>
  <c r="C35" i="12"/>
  <c r="B38" i="12"/>
  <c r="C38" i="12"/>
  <c r="B39" i="12"/>
  <c r="C39" i="12"/>
  <c r="B40" i="12"/>
  <c r="C40" i="12"/>
  <c r="B42" i="12"/>
  <c r="C42" i="12"/>
</calcChain>
</file>

<file path=xl/sharedStrings.xml><?xml version="1.0" encoding="utf-8"?>
<sst xmlns="http://schemas.openxmlformats.org/spreadsheetml/2006/main" count="317" uniqueCount="209">
  <si>
    <t>Year</t>
  </si>
  <si>
    <t>Sales growth</t>
  </si>
  <si>
    <t>EBITDA margin</t>
  </si>
  <si>
    <t>Net interest rate</t>
  </si>
  <si>
    <t>Taxation rate</t>
  </si>
  <si>
    <t>Fixed asset turn</t>
  </si>
  <si>
    <t>Working capital turn</t>
  </si>
  <si>
    <t>Net debt/equity</t>
  </si>
  <si>
    <t>Input ratios</t>
  </si>
  <si>
    <t>Profit and loss account</t>
  </si>
  <si>
    <t>Sales</t>
  </si>
  <si>
    <t>EBITDA</t>
  </si>
  <si>
    <t>Net interest</t>
  </si>
  <si>
    <t>Pre-tax profit</t>
  </si>
  <si>
    <t>Taxation</t>
  </si>
  <si>
    <t>Net profit</t>
  </si>
  <si>
    <t>Non-cash working capital</t>
  </si>
  <si>
    <t>Capital employed</t>
  </si>
  <si>
    <t>Net debt</t>
  </si>
  <si>
    <t>Shareholders' funds</t>
  </si>
  <si>
    <t>Cash flow</t>
  </si>
  <si>
    <t>Depreciation</t>
  </si>
  <si>
    <t>Cash flow from operations</t>
  </si>
  <si>
    <t>Capital expenditure</t>
  </si>
  <si>
    <t>Change in working capital</t>
  </si>
  <si>
    <t>Depreciation (years)</t>
  </si>
  <si>
    <t>EBIT</t>
  </si>
  <si>
    <t>Closing balance sheet</t>
  </si>
  <si>
    <t>Change in net cash/net debt</t>
  </si>
  <si>
    <t>Return on opening capital employed</t>
  </si>
  <si>
    <t>Du Pont analysis</t>
  </si>
  <si>
    <t>Operating margin</t>
  </si>
  <si>
    <t>Per share statistics</t>
  </si>
  <si>
    <t>Shares issued (million)</t>
  </si>
  <si>
    <t>DPS</t>
  </si>
  <si>
    <t>Offer price per share</t>
  </si>
  <si>
    <t>% paid in shares</t>
  </si>
  <si>
    <t>% paid in cash</t>
  </si>
  <si>
    <t>Goodwill created on acquisition</t>
  </si>
  <si>
    <t>Goodwill</t>
  </si>
  <si>
    <t>Equity created on acquisition</t>
  </si>
  <si>
    <t xml:space="preserve">EBITDA </t>
  </si>
  <si>
    <t>Change to EBITDA</t>
  </si>
  <si>
    <t>Change to tax charge</t>
  </si>
  <si>
    <t>Minority interest</t>
  </si>
  <si>
    <t>Attributable profit</t>
  </si>
  <si>
    <t>Check</t>
  </si>
  <si>
    <t>Offer premium</t>
  </si>
  <si>
    <t>Addition to target sales</t>
  </si>
  <si>
    <t>Valuation of target equity</t>
  </si>
  <si>
    <t>New shares issued (m)</t>
  </si>
  <si>
    <t>Total fixed assets</t>
  </si>
  <si>
    <t>Debt assumed on acquisition</t>
  </si>
  <si>
    <t>Acquisition enterprise value</t>
  </si>
  <si>
    <t>Debt created on acquisition</t>
  </si>
  <si>
    <t>Target sales</t>
  </si>
  <si>
    <t>Synergy revenues</t>
  </si>
  <si>
    <t>Target EBITDA</t>
  </si>
  <si>
    <t>Synergy EBITDA</t>
  </si>
  <si>
    <t>Target depreciation</t>
  </si>
  <si>
    <t>Proforma goodwill</t>
  </si>
  <si>
    <t>Prior goodwill</t>
  </si>
  <si>
    <t>Acquirer minority</t>
  </si>
  <si>
    <t>Target minority</t>
  </si>
  <si>
    <t>Acquirer non-cash working capital</t>
  </si>
  <si>
    <t>Target non-cash working capital</t>
  </si>
  <si>
    <t>Target capital expenditure</t>
  </si>
  <si>
    <t>Target change in working capital</t>
  </si>
  <si>
    <t>Minority assumed on acquisition</t>
  </si>
  <si>
    <t>Proforma</t>
  </si>
  <si>
    <t>Date of acquisition</t>
  </si>
  <si>
    <t>Adj</t>
  </si>
  <si>
    <t>Target Name</t>
  </si>
  <si>
    <t>Fiscal Year End</t>
  </si>
  <si>
    <t>Earnings from associates</t>
  </si>
  <si>
    <t>Non recurring items</t>
  </si>
  <si>
    <t>Financial assets</t>
  </si>
  <si>
    <t xml:space="preserve">Goodwill </t>
  </si>
  <si>
    <t>Pension liabilities</t>
  </si>
  <si>
    <t>Pension provisions</t>
  </si>
  <si>
    <t>Other provisions</t>
  </si>
  <si>
    <t>Pension provisions/Operating costs</t>
  </si>
  <si>
    <t>Other provisions/sales</t>
  </si>
  <si>
    <t>Earning from associates/Recurring net profit</t>
  </si>
  <si>
    <t>Target earnings from associates</t>
  </si>
  <si>
    <t>Dividends paid</t>
  </si>
  <si>
    <t>Post-Merger</t>
  </si>
  <si>
    <t>Target pension liabilities</t>
  </si>
  <si>
    <t>Other deferred LT liabilities</t>
  </si>
  <si>
    <t>Target other deferred LT liabilities</t>
  </si>
  <si>
    <t>Target pension provisions</t>
  </si>
  <si>
    <t>Acquiror other provisions</t>
  </si>
  <si>
    <t>Target other provisions</t>
  </si>
  <si>
    <t>Tangible and intangibles</t>
  </si>
  <si>
    <t>Target financial assets</t>
  </si>
  <si>
    <t>Tangible and intangibles assets</t>
  </si>
  <si>
    <t>Depreciation &amp; amortisation</t>
  </si>
  <si>
    <t>EPS</t>
  </si>
  <si>
    <t>(Dilution)/enhancement</t>
  </si>
  <si>
    <t>Deferred LT liabilities</t>
  </si>
  <si>
    <t>Pensions assumed on acquisition</t>
  </si>
  <si>
    <t xml:space="preserve">December </t>
  </si>
  <si>
    <t>Tangible and intangible assets</t>
  </si>
  <si>
    <t>Target tangible and intangible assets</t>
  </si>
  <si>
    <t>Weighted average cost of capital</t>
  </si>
  <si>
    <t>Cost of equity:</t>
  </si>
  <si>
    <t>Equity risk premium</t>
  </si>
  <si>
    <t>Leveraged Beta</t>
  </si>
  <si>
    <t>Cost of equity</t>
  </si>
  <si>
    <t>Cost of debt:</t>
  </si>
  <si>
    <t>Risk free rate</t>
  </si>
  <si>
    <t>Debt risk premium</t>
  </si>
  <si>
    <t>Gross cost of debt</t>
  </si>
  <si>
    <t>Tax rate</t>
  </si>
  <si>
    <t>Net cost of debt</t>
  </si>
  <si>
    <t>Equity (including minorities):</t>
  </si>
  <si>
    <t>Market capitalisation</t>
  </si>
  <si>
    <t>Weight of equity</t>
  </si>
  <si>
    <t>Fair value of financial liabilities:</t>
  </si>
  <si>
    <t>Pension provision</t>
  </si>
  <si>
    <t>Fair value of financial liabilities</t>
  </si>
  <si>
    <t>Weight of debt</t>
  </si>
  <si>
    <t>Total enterprise value</t>
  </si>
  <si>
    <t>Enterprise value</t>
  </si>
  <si>
    <t>Current</t>
  </si>
  <si>
    <t>Unleveraged Beta</t>
  </si>
  <si>
    <t>EBIT before non-recurring items</t>
  </si>
  <si>
    <t>Notional taxation</t>
  </si>
  <si>
    <t>NOPAT</t>
  </si>
  <si>
    <t>Free cash flow</t>
  </si>
  <si>
    <t>Terminus</t>
  </si>
  <si>
    <t>WACC</t>
  </si>
  <si>
    <t>Long term growth</t>
  </si>
  <si>
    <t>Return on incremental capital</t>
  </si>
  <si>
    <t>Net synergies</t>
  </si>
  <si>
    <t>Adjusted NOPAT</t>
  </si>
  <si>
    <t>DCF valuation:</t>
  </si>
  <si>
    <t>PV forecasts free cash flows</t>
  </si>
  <si>
    <t>PV terminal value</t>
  </si>
  <si>
    <t>Value of operating business</t>
  </si>
  <si>
    <t>Equity value:</t>
  </si>
  <si>
    <t>Fair value of shareholders' equity</t>
  </si>
  <si>
    <t>Fair value of financial assets/(liabilities):</t>
  </si>
  <si>
    <t>Stand-alone valuation</t>
  </si>
  <si>
    <t>Value including synergies</t>
  </si>
  <si>
    <t>Value including synergies and refinancing</t>
  </si>
  <si>
    <t>Value of synergies</t>
  </si>
  <si>
    <t>Adjustment for refinancing</t>
  </si>
  <si>
    <t>Historical Year</t>
  </si>
  <si>
    <t>Exit  values:</t>
  </si>
  <si>
    <t>P/E</t>
  </si>
  <si>
    <t>Yield</t>
  </si>
  <si>
    <t>Equity multiples:</t>
  </si>
  <si>
    <t>Price/book</t>
  </si>
  <si>
    <t>EV multiples:</t>
  </si>
  <si>
    <t>EV/Sales</t>
  </si>
  <si>
    <t>EV/EBITDA</t>
  </si>
  <si>
    <t>EV/EBIT</t>
  </si>
  <si>
    <t>Payout ratio</t>
  </si>
  <si>
    <t>Dividend growth</t>
  </si>
  <si>
    <t>Associates</t>
  </si>
  <si>
    <t>Gross profit margin</t>
  </si>
  <si>
    <t>Reduction in target fixed costs</t>
  </si>
  <si>
    <t>Addition to target gross profit</t>
  </si>
  <si>
    <t>Reduction in target fixed cost</t>
  </si>
  <si>
    <t>Change to net profit</t>
  </si>
  <si>
    <t>Sale/purchase of shares</t>
  </si>
  <si>
    <t>To/from equity</t>
  </si>
  <si>
    <t>Capital turn (opening operating capital)</t>
  </si>
  <si>
    <t>Proforma acquirer net debt</t>
  </si>
  <si>
    <t>Proforma acquirer equity</t>
  </si>
  <si>
    <t>Interest rate (Acquirer)</t>
  </si>
  <si>
    <t>Acquirer sales</t>
  </si>
  <si>
    <t>Acquirer EBITDA</t>
  </si>
  <si>
    <t>Acquirer depreciation</t>
  </si>
  <si>
    <t>Acquirer earnings from associates</t>
  </si>
  <si>
    <t>Acquirer financial assets</t>
  </si>
  <si>
    <t>Acquirer tangible and intangible assets</t>
  </si>
  <si>
    <t>Acquirer pension liabilities</t>
  </si>
  <si>
    <t>Acquirer other deferred LT liabilities</t>
  </si>
  <si>
    <t>Acquirer pension provisions</t>
  </si>
  <si>
    <t>Acquirer change in working capital</t>
  </si>
  <si>
    <t>Acquirer capital expenditure</t>
  </si>
  <si>
    <t>Acquirer Name</t>
  </si>
  <si>
    <t>Opening operating capital employed</t>
  </si>
  <si>
    <t>Investment spread</t>
  </si>
  <si>
    <t>Economic value added</t>
  </si>
  <si>
    <t>EVA valuation:</t>
  </si>
  <si>
    <t>Book value of capital</t>
  </si>
  <si>
    <t>PV forecast EVA</t>
  </si>
  <si>
    <t>Terminal value (no growth)</t>
  </si>
  <si>
    <t>Terminal value (incremental investment)</t>
  </si>
  <si>
    <t>Share price</t>
  </si>
  <si>
    <t>Euro</t>
  </si>
  <si>
    <t>Restructuring cost (2 year payback)</t>
  </si>
  <si>
    <t>DPS (Acquirer)</t>
  </si>
  <si>
    <t>WACC standalone (0)/acquisition (1)</t>
  </si>
  <si>
    <t>Synergies off (0)/ on (1)</t>
  </si>
  <si>
    <t>Currency</t>
  </si>
  <si>
    <t>Tax rate (Blended)</t>
  </si>
  <si>
    <t>Non-consolidate interest</t>
  </si>
  <si>
    <t>Non-controlling interests</t>
  </si>
  <si>
    <t>Non-controlling interest</t>
  </si>
  <si>
    <t>NCI/Net profit</t>
  </si>
  <si>
    <t>Fair value of NCI</t>
  </si>
  <si>
    <t>Equity (including NCI)</t>
  </si>
  <si>
    <t>Non-consolidated interest</t>
  </si>
  <si>
    <t>ABC</t>
  </si>
  <si>
    <t>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</si>
</sst>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0.0%"/>
    <numFmt numFmtId="165" formatCode="0.0"/>
    <numFmt numFmtId="166" formatCode="#,##0;\(#,##0\)"/>
    <numFmt numFmtId="167" formatCode="#,##0.0;\(#,##0.0\)"/>
    <numFmt numFmtId="168" formatCode="#,##0.00;\(#,##0.00\)"/>
    <numFmt numFmtId="169" formatCode="#,##0.000;\(#,##0.000\)"/>
    <numFmt numFmtId="170" formatCode="#,##0.0"/>
    <numFmt numFmtId="171" formatCode="0.0%_);\(0.0%\)"/>
    <numFmt numFmtId="172" formatCode="0.0_);\(0.0\)"/>
    <numFmt numFmtId="173" formatCode="#,##0.0000;\(#,##0.0000\)"/>
    <numFmt numFmtId="174" formatCode="0_ ;\-0\ "/>
    <numFmt numFmtId="175" formatCode="#,##0.0_);\(#,##0.0\)"/>
  </numFmts>
  <fonts count="32" x14ac:knownFonts="1">
    <font>
      <sz val="10"/>
      <name val="Arial"/>
    </font>
    <font>
      <sz val="10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i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color indexed="10"/>
      <name val="Calibri"/>
      <family val="2"/>
      <scheme val="minor"/>
    </font>
    <font>
      <i/>
      <sz val="11"/>
      <color indexed="9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theme="3" tint="0.39997558519241921"/>
      <name val="Calibri"/>
      <family val="2"/>
    </font>
    <font>
      <i/>
      <sz val="11"/>
      <color theme="3" tint="0.39997558519241921"/>
      <name val="Calibri"/>
      <family val="2"/>
    </font>
    <font>
      <sz val="11"/>
      <color theme="3" tint="0.39997558519241921"/>
      <name val="Calibri"/>
      <family val="2"/>
    </font>
    <font>
      <b/>
      <sz val="11"/>
      <color theme="3" tint="0.3999755851924192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3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5">
    <xf numFmtId="0" fontId="0" fillId="0" borderId="0" xfId="0"/>
    <xf numFmtId="10" fontId="14" fillId="0" borderId="0" xfId="5" applyNumberFormat="1" applyFont="1"/>
    <xf numFmtId="10" fontId="13" fillId="0" borderId="0" xfId="5" applyNumberFormat="1" applyFont="1"/>
    <xf numFmtId="0" fontId="14" fillId="0" borderId="0" xfId="2" applyFont="1"/>
    <xf numFmtId="10" fontId="14" fillId="0" borderId="0" xfId="2" applyNumberFormat="1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6" fillId="0" borderId="0" xfId="0" quotePrefix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7" fillId="0" borderId="0" xfId="0" applyFont="1"/>
    <xf numFmtId="171" fontId="7" fillId="0" borderId="0" xfId="0" applyNumberFormat="1" applyFont="1"/>
    <xf numFmtId="172" fontId="5" fillId="0" borderId="0" xfId="0" applyNumberFormat="1" applyFont="1"/>
    <xf numFmtId="164" fontId="7" fillId="0" borderId="0" xfId="0" applyNumberFormat="1" applyFont="1"/>
    <xf numFmtId="0" fontId="5" fillId="0" borderId="0" xfId="0" applyFont="1" applyAlignment="1"/>
    <xf numFmtId="166" fontId="5" fillId="0" borderId="0" xfId="0" applyNumberFormat="1" applyFont="1"/>
    <xf numFmtId="0" fontId="5" fillId="0" borderId="9" xfId="0" applyFont="1" applyBorder="1" applyAlignment="1"/>
    <xf numFmtId="166" fontId="5" fillId="0" borderId="9" xfId="0" applyNumberFormat="1" applyFont="1" applyBorder="1"/>
    <xf numFmtId="166" fontId="5" fillId="0" borderId="0" xfId="0" applyNumberFormat="1" applyFont="1" applyFill="1" applyBorder="1"/>
    <xf numFmtId="0" fontId="5" fillId="0" borderId="9" xfId="0" applyFont="1" applyBorder="1"/>
    <xf numFmtId="0" fontId="5" fillId="0" borderId="0" xfId="0" applyFont="1" applyBorder="1" applyAlignment="1"/>
    <xf numFmtId="0" fontId="5" fillId="0" borderId="9" xfId="0" applyFont="1" applyFill="1" applyBorder="1" applyAlignment="1"/>
    <xf numFmtId="0" fontId="5" fillId="0" borderId="0" xfId="0" applyFont="1" applyFill="1" applyBorder="1" applyAlignment="1"/>
    <xf numFmtId="166" fontId="10" fillId="0" borderId="0" xfId="0" applyNumberFormat="1" applyFont="1"/>
    <xf numFmtId="166" fontId="5" fillId="0" borderId="0" xfId="0" applyNumberFormat="1" applyFont="1" applyFill="1"/>
    <xf numFmtId="0" fontId="11" fillId="0" borderId="0" xfId="0" applyFont="1"/>
    <xf numFmtId="173" fontId="11" fillId="0" borderId="0" xfId="0" applyNumberFormat="1" applyFont="1"/>
    <xf numFmtId="166" fontId="10" fillId="0" borderId="0" xfId="0" applyNumberFormat="1" applyFont="1" applyFill="1"/>
    <xf numFmtId="166" fontId="10" fillId="0" borderId="9" xfId="0" applyNumberFormat="1" applyFont="1" applyFill="1" applyBorder="1"/>
    <xf numFmtId="166" fontId="5" fillId="0" borderId="0" xfId="0" applyNumberFormat="1" applyFont="1" applyBorder="1"/>
    <xf numFmtId="2" fontId="5" fillId="0" borderId="0" xfId="0" applyNumberFormat="1" applyFont="1"/>
    <xf numFmtId="4" fontId="15" fillId="0" borderId="0" xfId="0" applyNumberFormat="1" applyFont="1" applyFill="1"/>
    <xf numFmtId="0" fontId="2" fillId="0" borderId="0" xfId="0" applyFont="1"/>
    <xf numFmtId="0" fontId="9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7" fillId="0" borderId="0" xfId="0" applyFont="1" applyAlignment="1"/>
    <xf numFmtId="0" fontId="12" fillId="0" borderId="0" xfId="0" applyFont="1"/>
    <xf numFmtId="37" fontId="5" fillId="0" borderId="0" xfId="0" applyNumberFormat="1" applyFont="1" applyBorder="1"/>
    <xf numFmtId="164" fontId="7" fillId="0" borderId="0" xfId="4" applyNumberFormat="1" applyFont="1"/>
    <xf numFmtId="37" fontId="5" fillId="0" borderId="0" xfId="0" applyNumberFormat="1" applyFont="1"/>
    <xf numFmtId="0" fontId="5" fillId="0" borderId="9" xfId="0" applyFont="1" applyFill="1" applyBorder="1"/>
    <xf numFmtId="37" fontId="5" fillId="0" borderId="9" xfId="0" applyNumberFormat="1" applyFont="1" applyBorder="1"/>
    <xf numFmtId="166" fontId="4" fillId="0" borderId="0" xfId="0" applyNumberFormat="1" applyFont="1"/>
    <xf numFmtId="37" fontId="4" fillId="0" borderId="0" xfId="0" applyNumberFormat="1" applyFont="1" applyAlignment="1">
      <alignment horizontal="right"/>
    </xf>
    <xf numFmtId="37" fontId="4" fillId="0" borderId="0" xfId="0" applyNumberFormat="1" applyFont="1"/>
    <xf numFmtId="164" fontId="11" fillId="0" borderId="0" xfId="4" applyNumberFormat="1" applyFont="1"/>
    <xf numFmtId="166" fontId="2" fillId="0" borderId="0" xfId="0" applyNumberFormat="1" applyFont="1"/>
    <xf numFmtId="0" fontId="16" fillId="0" borderId="1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6" fillId="0" borderId="0" xfId="0" applyFont="1"/>
    <xf numFmtId="0" fontId="17" fillId="0" borderId="4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5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19" fillId="0" borderId="4" xfId="0" applyFont="1" applyBorder="1" applyAlignment="1">
      <alignment horizontal="centerContinuous"/>
    </xf>
    <xf numFmtId="0" fontId="19" fillId="0" borderId="5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6" fillId="0" borderId="6" xfId="0" applyFont="1" applyBorder="1" applyAlignment="1">
      <alignment horizontal="centerContinuous"/>
    </xf>
    <xf numFmtId="0" fontId="17" fillId="0" borderId="7" xfId="0" applyFont="1" applyBorder="1" applyAlignment="1">
      <alignment horizontal="centerContinuous"/>
    </xf>
    <xf numFmtId="0" fontId="16" fillId="0" borderId="8" xfId="0" applyFont="1" applyBorder="1" applyAlignment="1">
      <alignment horizontal="centerContinuous"/>
    </xf>
    <xf numFmtId="0" fontId="17" fillId="0" borderId="0" xfId="0" applyFont="1"/>
    <xf numFmtId="0" fontId="17" fillId="0" borderId="9" xfId="0" applyFont="1" applyBorder="1" applyAlignment="1">
      <alignment horizontal="centerContinuous"/>
    </xf>
    <xf numFmtId="0" fontId="17" fillId="0" borderId="0" xfId="0" applyFont="1" applyAlignment="1">
      <alignment horizontal="center"/>
    </xf>
    <xf numFmtId="0" fontId="16" fillId="0" borderId="9" xfId="0" applyFont="1" applyBorder="1" applyAlignment="1">
      <alignment horizontal="centerContinuous"/>
    </xf>
    <xf numFmtId="0" fontId="19" fillId="0" borderId="0" xfId="0" applyFont="1"/>
    <xf numFmtId="164" fontId="19" fillId="0" borderId="0" xfId="4" applyNumberFormat="1" applyFont="1"/>
    <xf numFmtId="166" fontId="16" fillId="0" borderId="0" xfId="0" applyNumberFormat="1" applyFont="1"/>
    <xf numFmtId="0" fontId="20" fillId="0" borderId="0" xfId="0" applyFont="1"/>
    <xf numFmtId="0" fontId="20" fillId="0" borderId="0" xfId="0" applyFont="1" applyBorder="1"/>
    <xf numFmtId="166" fontId="16" fillId="0" borderId="0" xfId="0" applyNumberFormat="1" applyFont="1" applyBorder="1"/>
    <xf numFmtId="0" fontId="17" fillId="0" borderId="10" xfId="0" applyFont="1" applyBorder="1"/>
    <xf numFmtId="166" fontId="17" fillId="0" borderId="10" xfId="0" applyNumberFormat="1" applyFont="1" applyBorder="1"/>
    <xf numFmtId="0" fontId="16" fillId="0" borderId="10" xfId="0" applyFont="1" applyBorder="1"/>
    <xf numFmtId="166" fontId="16" fillId="0" borderId="10" xfId="0" applyNumberFormat="1" applyFont="1" applyBorder="1"/>
    <xf numFmtId="166" fontId="17" fillId="0" borderId="0" xfId="0" applyNumberFormat="1" applyFont="1"/>
    <xf numFmtId="0" fontId="16" fillId="0" borderId="0" xfId="0" applyFont="1" applyBorder="1"/>
    <xf numFmtId="0" fontId="21" fillId="0" borderId="0" xfId="0" applyFont="1" applyBorder="1"/>
    <xf numFmtId="166" fontId="20" fillId="0" borderId="0" xfId="0" applyNumberFormat="1" applyFont="1"/>
    <xf numFmtId="166" fontId="22" fillId="0" borderId="0" xfId="0" applyNumberFormat="1" applyFont="1"/>
    <xf numFmtId="2" fontId="16" fillId="0" borderId="0" xfId="0" applyNumberFormat="1" applyFont="1"/>
    <xf numFmtId="166" fontId="20" fillId="0" borderId="0" xfId="0" applyNumberFormat="1" applyFont="1" applyBorder="1"/>
    <xf numFmtId="0" fontId="23" fillId="0" borderId="0" xfId="0" applyFont="1"/>
    <xf numFmtId="166" fontId="16" fillId="0" borderId="0" xfId="0" applyNumberFormat="1" applyFont="1" applyFill="1"/>
    <xf numFmtId="0" fontId="17" fillId="0" borderId="0" xfId="0" applyFont="1" applyBorder="1"/>
    <xf numFmtId="166" fontId="17" fillId="0" borderId="0" xfId="0" applyNumberFormat="1" applyFont="1" applyBorder="1"/>
    <xf numFmtId="0" fontId="22" fillId="0" borderId="0" xfId="0" applyFont="1"/>
    <xf numFmtId="171" fontId="19" fillId="0" borderId="0" xfId="0" applyNumberFormat="1" applyFont="1"/>
    <xf numFmtId="170" fontId="16" fillId="0" borderId="0" xfId="0" applyNumberFormat="1" applyFont="1"/>
    <xf numFmtId="171" fontId="24" fillId="0" borderId="0" xfId="0" applyNumberFormat="1" applyFont="1"/>
    <xf numFmtId="37" fontId="16" fillId="0" borderId="0" xfId="0" applyNumberFormat="1" applyFont="1"/>
    <xf numFmtId="37" fontId="16" fillId="0" borderId="9" xfId="0" applyNumberFormat="1" applyFont="1" applyBorder="1"/>
    <xf numFmtId="0" fontId="16" fillId="0" borderId="0" xfId="0" applyFont="1" applyBorder="1" applyAlignment="1">
      <alignment horizontal="centerContinuous"/>
    </xf>
    <xf numFmtId="0" fontId="13" fillId="0" borderId="0" xfId="2" applyFont="1"/>
    <xf numFmtId="165" fontId="13" fillId="0" borderId="0" xfId="2" applyNumberFormat="1" applyFont="1"/>
    <xf numFmtId="43" fontId="13" fillId="0" borderId="0" xfId="2" applyNumberFormat="1" applyFont="1"/>
    <xf numFmtId="37" fontId="13" fillId="0" borderId="0" xfId="2" applyNumberFormat="1" applyFont="1"/>
    <xf numFmtId="166" fontId="13" fillId="0" borderId="0" xfId="2" applyNumberFormat="1" applyFont="1"/>
    <xf numFmtId="0" fontId="19" fillId="0" borderId="0" xfId="0" applyFont="1" applyBorder="1" applyAlignment="1">
      <alignment horizontal="centerContinuous"/>
    </xf>
    <xf numFmtId="2" fontId="13" fillId="0" borderId="0" xfId="5" applyNumberFormat="1" applyFont="1"/>
    <xf numFmtId="2" fontId="13" fillId="0" borderId="0" xfId="2" applyNumberFormat="1" applyFont="1"/>
    <xf numFmtId="10" fontId="19" fillId="0" borderId="0" xfId="4" applyNumberFormat="1" applyFont="1"/>
    <xf numFmtId="168" fontId="16" fillId="0" borderId="0" xfId="0" applyNumberFormat="1" applyFont="1"/>
    <xf numFmtId="165" fontId="16" fillId="0" borderId="0" xfId="0" applyNumberFormat="1" applyFont="1"/>
    <xf numFmtId="0" fontId="16" fillId="0" borderId="9" xfId="0" applyFont="1" applyBorder="1"/>
    <xf numFmtId="166" fontId="16" fillId="0" borderId="9" xfId="0" applyNumberFormat="1" applyFont="1" applyBorder="1"/>
    <xf numFmtId="164" fontId="19" fillId="0" borderId="9" xfId="4" applyNumberFormat="1" applyFont="1" applyBorder="1"/>
    <xf numFmtId="170" fontId="5" fillId="0" borderId="0" xfId="0" applyNumberFormat="1" applyFont="1" applyFill="1"/>
    <xf numFmtId="2" fontId="16" fillId="0" borderId="0" xfId="4" applyNumberFormat="1" applyFont="1"/>
    <xf numFmtId="175" fontId="5" fillId="0" borderId="0" xfId="0" applyNumberFormat="1" applyFont="1"/>
    <xf numFmtId="167" fontId="16" fillId="0" borderId="0" xfId="0" applyNumberFormat="1" applyFont="1"/>
    <xf numFmtId="166" fontId="16" fillId="2" borderId="0" xfId="0" applyNumberFormat="1" applyFont="1" applyFill="1"/>
    <xf numFmtId="0" fontId="25" fillId="2" borderId="0" xfId="0" applyFont="1" applyFill="1"/>
    <xf numFmtId="0" fontId="16" fillId="2" borderId="0" xfId="0" applyFont="1" applyFill="1"/>
    <xf numFmtId="0" fontId="25" fillId="2" borderId="0" xfId="0" applyFont="1" applyFill="1" applyBorder="1"/>
    <xf numFmtId="166" fontId="17" fillId="2" borderId="10" xfId="0" applyNumberFormat="1" applyFont="1" applyFill="1" applyBorder="1"/>
    <xf numFmtId="1" fontId="16" fillId="2" borderId="0" xfId="0" applyNumberFormat="1" applyFont="1" applyFill="1"/>
    <xf numFmtId="166" fontId="16" fillId="2" borderId="10" xfId="0" applyNumberFormat="1" applyFont="1" applyFill="1" applyBorder="1"/>
    <xf numFmtId="166" fontId="17" fillId="2" borderId="0" xfId="0" applyNumberFormat="1" applyFont="1" applyFill="1"/>
    <xf numFmtId="166" fontId="16" fillId="2" borderId="0" xfId="0" applyNumberFormat="1" applyFont="1" applyFill="1" applyBorder="1"/>
    <xf numFmtId="0" fontId="16" fillId="2" borderId="0" xfId="0" applyFont="1" applyFill="1" applyBorder="1"/>
    <xf numFmtId="166" fontId="21" fillId="2" borderId="0" xfId="0" applyNumberFormat="1" applyFont="1" applyFill="1" applyBorder="1"/>
    <xf numFmtId="166" fontId="25" fillId="2" borderId="0" xfId="0" applyNumberFormat="1" applyFont="1" applyFill="1"/>
    <xf numFmtId="166" fontId="20" fillId="2" borderId="0" xfId="0" applyNumberFormat="1" applyFont="1" applyFill="1"/>
    <xf numFmtId="166" fontId="17" fillId="2" borderId="0" xfId="0" applyNumberFormat="1" applyFont="1" applyFill="1" applyBorder="1"/>
    <xf numFmtId="166" fontId="20" fillId="2" borderId="0" xfId="0" applyNumberFormat="1" applyFont="1" applyFill="1" applyBorder="1"/>
    <xf numFmtId="166" fontId="25" fillId="2" borderId="0" xfId="0" applyNumberFormat="1" applyFont="1" applyFill="1" applyBorder="1"/>
    <xf numFmtId="2" fontId="16" fillId="2" borderId="0" xfId="0" applyNumberFormat="1" applyFont="1" applyFill="1"/>
    <xf numFmtId="164" fontId="19" fillId="2" borderId="0" xfId="4" applyNumberFormat="1" applyFont="1" applyFill="1"/>
    <xf numFmtId="2" fontId="16" fillId="2" borderId="0" xfId="4" applyNumberFormat="1" applyFont="1" applyFill="1"/>
    <xf numFmtId="171" fontId="19" fillId="2" borderId="0" xfId="0" applyNumberFormat="1" applyFont="1" applyFill="1"/>
    <xf numFmtId="171" fontId="16" fillId="2" borderId="0" xfId="0" applyNumberFormat="1" applyFont="1" applyFill="1"/>
    <xf numFmtId="10" fontId="19" fillId="0" borderId="0" xfId="0" applyNumberFormat="1" applyFont="1"/>
    <xf numFmtId="169" fontId="23" fillId="0" borderId="0" xfId="4" applyNumberFormat="1" applyFont="1"/>
    <xf numFmtId="166" fontId="15" fillId="0" borderId="9" xfId="0" applyNumberFormat="1" applyFont="1" applyBorder="1"/>
    <xf numFmtId="1" fontId="16" fillId="0" borderId="0" xfId="0" applyNumberFormat="1" applyFont="1"/>
    <xf numFmtId="174" fontId="8" fillId="0" borderId="0" xfId="1" applyNumberFormat="1" applyFont="1"/>
    <xf numFmtId="0" fontId="26" fillId="0" borderId="0" xfId="0" applyFont="1" applyBorder="1" applyAlignment="1">
      <alignment horizontal="left"/>
    </xf>
    <xf numFmtId="17" fontId="26" fillId="0" borderId="0" xfId="0" quotePrefix="1" applyNumberFormat="1" applyFont="1" applyBorder="1" applyAlignment="1">
      <alignment horizontal="left"/>
    </xf>
    <xf numFmtId="1" fontId="26" fillId="0" borderId="0" xfId="0" quotePrefix="1" applyNumberFormat="1" applyFont="1" applyBorder="1" applyAlignment="1">
      <alignment horizontal="left"/>
    </xf>
    <xf numFmtId="9" fontId="26" fillId="0" borderId="0" xfId="4" applyFont="1" applyBorder="1" applyAlignment="1">
      <alignment horizontal="left"/>
    </xf>
    <xf numFmtId="171" fontId="27" fillId="0" borderId="0" xfId="0" applyNumberFormat="1" applyFont="1" applyFill="1"/>
    <xf numFmtId="172" fontId="28" fillId="0" borderId="0" xfId="0" applyNumberFormat="1" applyFont="1" applyFill="1"/>
    <xf numFmtId="171" fontId="27" fillId="0" borderId="0" xfId="0" applyNumberFormat="1" applyFont="1"/>
    <xf numFmtId="166" fontId="28" fillId="0" borderId="0" xfId="0" applyNumberFormat="1" applyFont="1" applyFill="1"/>
    <xf numFmtId="166" fontId="28" fillId="0" borderId="9" xfId="0" applyNumberFormat="1" applyFont="1" applyFill="1" applyBorder="1"/>
    <xf numFmtId="166" fontId="28" fillId="0" borderId="0" xfId="0" applyNumberFormat="1" applyFont="1" applyFill="1" applyBorder="1"/>
    <xf numFmtId="170" fontId="28" fillId="0" borderId="0" xfId="0" applyNumberFormat="1" applyFont="1" applyFill="1"/>
    <xf numFmtId="2" fontId="28" fillId="0" borderId="0" xfId="0" applyNumberFormat="1" applyFont="1"/>
    <xf numFmtId="4" fontId="28" fillId="0" borderId="0" xfId="0" applyNumberFormat="1" applyFont="1" applyFill="1"/>
    <xf numFmtId="14" fontId="26" fillId="0" borderId="0" xfId="0" applyNumberFormat="1" applyFont="1"/>
    <xf numFmtId="164" fontId="27" fillId="0" borderId="0" xfId="4" applyNumberFormat="1" applyFont="1" applyFill="1"/>
    <xf numFmtId="164" fontId="27" fillId="0" borderId="0" xfId="4" applyNumberFormat="1" applyFont="1"/>
    <xf numFmtId="166" fontId="28" fillId="0" borderId="0" xfId="0" applyNumberFormat="1" applyFont="1"/>
    <xf numFmtId="0" fontId="29" fillId="0" borderId="4" xfId="0" applyFont="1" applyBorder="1" applyAlignment="1">
      <alignment horizontal="centerContinuous"/>
    </xf>
    <xf numFmtId="164" fontId="30" fillId="0" borderId="0" xfId="0" applyNumberFormat="1" applyFont="1" applyFill="1"/>
    <xf numFmtId="10" fontId="30" fillId="0" borderId="0" xfId="5" applyNumberFormat="1" applyFont="1"/>
    <xf numFmtId="2" fontId="31" fillId="0" borderId="0" xfId="5" applyNumberFormat="1" applyFont="1"/>
    <xf numFmtId="10" fontId="30" fillId="0" borderId="0" xfId="2" applyNumberFormat="1" applyFont="1"/>
    <xf numFmtId="0" fontId="31" fillId="0" borderId="0" xfId="0" applyFont="1"/>
    <xf numFmtId="164" fontId="30" fillId="0" borderId="0" xfId="4" applyNumberFormat="1" applyFont="1"/>
    <xf numFmtId="2" fontId="31" fillId="0" borderId="0" xfId="0" applyNumberFormat="1" applyFont="1"/>
  </cellXfs>
  <cellStyles count="7">
    <cellStyle name="Comma" xfId="1" builtinId="3"/>
    <cellStyle name="Normal" xfId="0" builtinId="0"/>
    <cellStyle name="Normal 2" xfId="2"/>
    <cellStyle name="Normal 3" xfId="3"/>
    <cellStyle name="Percent" xfId="4" builtinId="5"/>
    <cellStyle name="Percent 2" xfId="5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9:N17"/>
  <sheetViews>
    <sheetView showGridLines="0" tabSelected="1" zoomScaleNormal="100" workbookViewId="0"/>
  </sheetViews>
  <sheetFormatPr defaultRowHeight="15" x14ac:dyDescent="0.25"/>
  <cols>
    <col min="1" max="15" width="9.140625" style="5"/>
    <col min="16" max="16" width="5.28515625" style="5" customWidth="1"/>
    <col min="17" max="16384" width="9.140625" style="5"/>
  </cols>
  <sheetData>
    <row r="9" spans="8:14" ht="15.75" thickBot="1" x14ac:dyDescent="0.3"/>
    <row r="10" spans="8:14" x14ac:dyDescent="0.25">
      <c r="H10" s="6"/>
      <c r="I10" s="7"/>
      <c r="J10" s="7"/>
      <c r="K10" s="7"/>
      <c r="L10" s="7"/>
      <c r="M10" s="7"/>
      <c r="N10" s="8"/>
    </row>
    <row r="11" spans="8:14" x14ac:dyDescent="0.25">
      <c r="H11" s="9" t="s">
        <v>183</v>
      </c>
      <c r="I11" s="10"/>
      <c r="J11" s="10"/>
      <c r="K11" s="150" t="s">
        <v>207</v>
      </c>
      <c r="L11" s="10"/>
      <c r="M11" s="10"/>
      <c r="N11" s="11"/>
    </row>
    <row r="12" spans="8:14" x14ac:dyDescent="0.25">
      <c r="H12" s="9" t="s">
        <v>72</v>
      </c>
      <c r="I12" s="10"/>
      <c r="J12" s="10"/>
      <c r="K12" s="150" t="s">
        <v>208</v>
      </c>
      <c r="L12" s="10"/>
      <c r="M12" s="10"/>
      <c r="N12" s="11"/>
    </row>
    <row r="13" spans="8:14" x14ac:dyDescent="0.25">
      <c r="H13" s="9" t="s">
        <v>73</v>
      </c>
      <c r="I13" s="10"/>
      <c r="J13" s="10"/>
      <c r="K13" s="151" t="s">
        <v>101</v>
      </c>
      <c r="L13" s="10"/>
      <c r="M13" s="10"/>
      <c r="N13" s="11"/>
    </row>
    <row r="14" spans="8:14" x14ac:dyDescent="0.25">
      <c r="H14" s="9" t="s">
        <v>148</v>
      </c>
      <c r="I14" s="10"/>
      <c r="J14" s="10"/>
      <c r="K14" s="152">
        <v>0</v>
      </c>
      <c r="L14" s="10"/>
      <c r="M14" s="10"/>
      <c r="N14" s="11"/>
    </row>
    <row r="15" spans="8:14" x14ac:dyDescent="0.25">
      <c r="H15" s="9" t="s">
        <v>198</v>
      </c>
      <c r="I15" s="10"/>
      <c r="J15" s="10"/>
      <c r="K15" s="153" t="s">
        <v>193</v>
      </c>
      <c r="L15" s="10"/>
      <c r="M15" s="10"/>
      <c r="N15" s="11"/>
    </row>
    <row r="16" spans="8:14" x14ac:dyDescent="0.25">
      <c r="H16" s="9"/>
      <c r="I16" s="10"/>
      <c r="J16" s="10"/>
      <c r="K16" s="12"/>
      <c r="L16" s="10"/>
      <c r="M16" s="10"/>
      <c r="N16" s="11"/>
    </row>
    <row r="17" spans="8:14" ht="15.75" thickBot="1" x14ac:dyDescent="0.3">
      <c r="H17" s="13"/>
      <c r="I17" s="14"/>
      <c r="J17" s="14"/>
      <c r="K17" s="14"/>
      <c r="L17" s="14"/>
      <c r="M17" s="14"/>
      <c r="N17" s="15"/>
    </row>
  </sheetData>
  <phoneticPr fontId="0" type="noConversion"/>
  <pageMargins left="0.39370078740157483" right="0.39370078740157483" top="0.39370078740157483" bottom="0.39370078740157483" header="0.19685039370078741" footer="0.19685039370078741"/>
  <pageSetup paperSize="9" orientation="landscape" horizontalDpi="4294967292" r:id="rId1"/>
  <headerFooter alignWithMargins="0">
    <oddHeader>&amp;L&amp;"Times New Roman,Regular"&amp;8&amp;F, &amp;A&amp;R&amp;"Times New Roman,Regular"&amp;8&amp;D, &amp;T</oddHeader>
    <oddFooter>&amp;L&amp;"Times New Roman,Regular"&amp;8© BG Training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Normal="100" zoomScaleSheetLayoutView="100" workbookViewId="0">
      <selection activeCell="A2" sqref="A2"/>
    </sheetView>
  </sheetViews>
  <sheetFormatPr defaultRowHeight="15" x14ac:dyDescent="0.25"/>
  <cols>
    <col min="1" max="1" width="40.7109375" style="5" customWidth="1"/>
    <col min="2" max="2" width="10.5703125" style="5" bestFit="1" customWidth="1"/>
    <col min="3" max="3" width="9.85546875" style="5" customWidth="1"/>
    <col min="4" max="16384" width="9.140625" style="5"/>
  </cols>
  <sheetData>
    <row r="1" spans="1:8" ht="9.9499999999999993" customHeight="1" x14ac:dyDescent="0.25">
      <c r="A1" s="16"/>
      <c r="B1" s="16"/>
      <c r="C1" s="16"/>
      <c r="D1" s="16"/>
      <c r="E1" s="16"/>
      <c r="F1" s="16"/>
      <c r="G1" s="16"/>
      <c r="H1" s="16"/>
    </row>
    <row r="2" spans="1:8" x14ac:dyDescent="0.25">
      <c r="A2" s="17" t="str">
        <f>CONCATENATE(Start!K11)</f>
        <v>ABC</v>
      </c>
      <c r="B2" s="17"/>
      <c r="C2" s="17"/>
      <c r="D2" s="17"/>
      <c r="E2" s="17"/>
      <c r="F2" s="17"/>
      <c r="G2" s="17"/>
      <c r="H2" s="17"/>
    </row>
    <row r="3" spans="1:8" x14ac:dyDescent="0.25">
      <c r="A3" s="18" t="str">
        <f>CONCATENATE("(",Start!K15," Millions, except per share amounts)")</f>
        <v>(Euro Millions, except per share amounts)</v>
      </c>
      <c r="B3" s="17"/>
      <c r="C3" s="17"/>
      <c r="D3" s="17"/>
      <c r="E3" s="17"/>
      <c r="F3" s="17"/>
      <c r="G3" s="17"/>
      <c r="H3" s="18"/>
    </row>
    <row r="4" spans="1:8" x14ac:dyDescent="0.25">
      <c r="A4" s="16" t="str">
        <f>CONCATENATE(Start!H13," ",Start!K13)</f>
        <v xml:space="preserve">Fiscal Year End December </v>
      </c>
      <c r="B4" s="17"/>
      <c r="C4" s="17"/>
      <c r="D4" s="17"/>
      <c r="E4" s="17"/>
      <c r="F4" s="17"/>
      <c r="G4" s="17"/>
      <c r="H4" s="16"/>
    </row>
    <row r="5" spans="1:8" ht="9.9499999999999993" customHeight="1" x14ac:dyDescent="0.25">
      <c r="A5" s="16"/>
      <c r="B5" s="17"/>
      <c r="C5" s="17"/>
      <c r="D5" s="17"/>
      <c r="E5" s="17"/>
      <c r="F5" s="17"/>
      <c r="G5" s="17"/>
      <c r="H5" s="16"/>
    </row>
    <row r="6" spans="1:8" x14ac:dyDescent="0.25">
      <c r="A6" s="19"/>
      <c r="B6" s="19"/>
      <c r="C6" s="19"/>
      <c r="D6" s="19"/>
      <c r="E6" s="19"/>
      <c r="F6" s="19"/>
      <c r="G6" s="19"/>
      <c r="H6" s="19"/>
    </row>
    <row r="7" spans="1:8" x14ac:dyDescent="0.25">
      <c r="A7" s="19" t="s">
        <v>0</v>
      </c>
      <c r="B7" s="149">
        <f>Start!K14</f>
        <v>0</v>
      </c>
      <c r="C7" s="19">
        <f t="shared" ref="C7:H7" si="0">B7+1</f>
        <v>1</v>
      </c>
      <c r="D7" s="19">
        <f t="shared" si="0"/>
        <v>2</v>
      </c>
      <c r="E7" s="19">
        <f t="shared" si="0"/>
        <v>3</v>
      </c>
      <c r="F7" s="19">
        <f t="shared" si="0"/>
        <v>4</v>
      </c>
      <c r="G7" s="19">
        <f t="shared" si="0"/>
        <v>5</v>
      </c>
      <c r="H7" s="19">
        <f t="shared" si="0"/>
        <v>6</v>
      </c>
    </row>
    <row r="9" spans="1:8" x14ac:dyDescent="0.25">
      <c r="A9" s="20" t="s">
        <v>8</v>
      </c>
    </row>
    <row r="10" spans="1:8" x14ac:dyDescent="0.25">
      <c r="A10" s="21" t="s">
        <v>1</v>
      </c>
      <c r="B10" s="22"/>
      <c r="C10" s="154">
        <v>0.05</v>
      </c>
      <c r="D10" s="154">
        <v>0.05</v>
      </c>
      <c r="E10" s="154">
        <f>D10-0.005</f>
        <v>4.5000000000000005E-2</v>
      </c>
      <c r="F10" s="154">
        <f>E10-0.005</f>
        <v>4.0000000000000008E-2</v>
      </c>
      <c r="G10" s="154">
        <f>F10-0.005</f>
        <v>3.500000000000001E-2</v>
      </c>
      <c r="H10" s="154">
        <f>G10</f>
        <v>3.500000000000001E-2</v>
      </c>
    </row>
    <row r="11" spans="1:8" x14ac:dyDescent="0.25">
      <c r="A11" s="21" t="s">
        <v>2</v>
      </c>
      <c r="B11" s="22">
        <f>B27/B26</f>
        <v>0.17162717627563648</v>
      </c>
      <c r="C11" s="154">
        <f>B11</f>
        <v>0.17162717627563648</v>
      </c>
      <c r="D11" s="154">
        <f>C11</f>
        <v>0.17162717627563648</v>
      </c>
      <c r="E11" s="154">
        <f>D11</f>
        <v>0.17162717627563648</v>
      </c>
      <c r="F11" s="154">
        <f>E11</f>
        <v>0.17162717627563648</v>
      </c>
      <c r="G11" s="154">
        <f>F11</f>
        <v>0.17162717627563648</v>
      </c>
      <c r="H11" s="154">
        <f>G11</f>
        <v>0.17162717627563648</v>
      </c>
    </row>
    <row r="12" spans="1:8" x14ac:dyDescent="0.25">
      <c r="A12" s="21" t="s">
        <v>3</v>
      </c>
      <c r="B12" s="22">
        <f>B31/-B47</f>
        <v>4.2933606650723155E-2</v>
      </c>
      <c r="C12" s="154">
        <f>B12</f>
        <v>4.2933606650723155E-2</v>
      </c>
      <c r="D12" s="154">
        <f>+C12</f>
        <v>4.2933606650723155E-2</v>
      </c>
      <c r="E12" s="154">
        <f>+D12</f>
        <v>4.2933606650723155E-2</v>
      </c>
      <c r="F12" s="154">
        <f>+E12</f>
        <v>4.2933606650723155E-2</v>
      </c>
      <c r="G12" s="154">
        <f>+F12</f>
        <v>4.2933606650723155E-2</v>
      </c>
      <c r="H12" s="154">
        <f>+G12</f>
        <v>4.2933606650723155E-2</v>
      </c>
    </row>
    <row r="13" spans="1:8" x14ac:dyDescent="0.25">
      <c r="A13" s="21" t="s">
        <v>4</v>
      </c>
      <c r="B13" s="22">
        <f>B33/-(B32-B30)</f>
        <v>0.24862047823421213</v>
      </c>
      <c r="C13" s="154">
        <v>0.26</v>
      </c>
      <c r="D13" s="154">
        <f t="shared" ref="D13:H14" si="1">C13</f>
        <v>0.26</v>
      </c>
      <c r="E13" s="154">
        <f t="shared" si="1"/>
        <v>0.26</v>
      </c>
      <c r="F13" s="154">
        <f t="shared" si="1"/>
        <v>0.26</v>
      </c>
      <c r="G13" s="154">
        <f t="shared" si="1"/>
        <v>0.26</v>
      </c>
      <c r="H13" s="154">
        <f t="shared" si="1"/>
        <v>0.26</v>
      </c>
    </row>
    <row r="14" spans="1:8" x14ac:dyDescent="0.25">
      <c r="A14" s="5" t="s">
        <v>5</v>
      </c>
      <c r="B14" s="23">
        <f>B26/B42</f>
        <v>2.9426255461972008</v>
      </c>
      <c r="C14" s="155">
        <f>B14</f>
        <v>2.9426255461972008</v>
      </c>
      <c r="D14" s="155">
        <f t="shared" si="1"/>
        <v>2.9426255461972008</v>
      </c>
      <c r="E14" s="155">
        <f t="shared" si="1"/>
        <v>2.9426255461972008</v>
      </c>
      <c r="F14" s="155">
        <f t="shared" si="1"/>
        <v>2.9426255461972008</v>
      </c>
      <c r="G14" s="155">
        <f t="shared" si="1"/>
        <v>2.9426255461972008</v>
      </c>
      <c r="H14" s="155">
        <f t="shared" si="1"/>
        <v>2.9426255461972008</v>
      </c>
    </row>
    <row r="15" spans="1:8" x14ac:dyDescent="0.25">
      <c r="A15" s="5" t="s">
        <v>6</v>
      </c>
      <c r="B15" s="23">
        <f>B26/B44</f>
        <v>-16.989762340036563</v>
      </c>
      <c r="C15" s="155">
        <f t="shared" ref="C15:H15" si="2">B15</f>
        <v>-16.989762340036563</v>
      </c>
      <c r="D15" s="155">
        <f t="shared" si="2"/>
        <v>-16.989762340036563</v>
      </c>
      <c r="E15" s="155">
        <f t="shared" si="2"/>
        <v>-16.989762340036563</v>
      </c>
      <c r="F15" s="155">
        <f t="shared" si="2"/>
        <v>-16.989762340036563</v>
      </c>
      <c r="G15" s="155">
        <f t="shared" si="2"/>
        <v>-16.989762340036563</v>
      </c>
      <c r="H15" s="155">
        <f t="shared" si="2"/>
        <v>-16.989762340036563</v>
      </c>
    </row>
    <row r="16" spans="1:8" x14ac:dyDescent="0.25">
      <c r="A16" s="21" t="s">
        <v>7</v>
      </c>
      <c r="B16" s="24">
        <f>B47/(B51+B50)</f>
        <v>0.5884994303330876</v>
      </c>
      <c r="C16" s="24">
        <f t="shared" ref="C16:H16" ca="1" si="3">C47/(C51+C50)</f>
        <v>0.38570948729434285</v>
      </c>
      <c r="D16" s="24">
        <f t="shared" ca="1" si="3"/>
        <v>0.22531241207469649</v>
      </c>
      <c r="E16" s="24">
        <f t="shared" ca="1" si="3"/>
        <v>0.16574524691458575</v>
      </c>
      <c r="F16" s="24">
        <f t="shared" ca="1" si="3"/>
        <v>0.10309761030281257</v>
      </c>
      <c r="G16" s="24">
        <f t="shared" ca="1" si="3"/>
        <v>5.9402761175743224E-2</v>
      </c>
      <c r="H16" s="24">
        <f t="shared" ca="1" si="3"/>
        <v>1.3591309896842645E-2</v>
      </c>
    </row>
    <row r="17" spans="1:8" x14ac:dyDescent="0.25">
      <c r="A17" s="5" t="s">
        <v>25</v>
      </c>
      <c r="B17" s="23">
        <f>-B42/B28</f>
        <v>14.702979515828678</v>
      </c>
      <c r="C17" s="155">
        <f t="shared" ref="C17:H17" si="4">B17</f>
        <v>14.702979515828678</v>
      </c>
      <c r="D17" s="155">
        <f t="shared" si="4"/>
        <v>14.702979515828678</v>
      </c>
      <c r="E17" s="155">
        <f t="shared" si="4"/>
        <v>14.702979515828678</v>
      </c>
      <c r="F17" s="155">
        <f t="shared" si="4"/>
        <v>14.702979515828678</v>
      </c>
      <c r="G17" s="155">
        <f t="shared" si="4"/>
        <v>14.702979515828678</v>
      </c>
      <c r="H17" s="155">
        <f t="shared" si="4"/>
        <v>14.702979515828678</v>
      </c>
    </row>
    <row r="18" spans="1:8" x14ac:dyDescent="0.25">
      <c r="A18" s="21" t="s">
        <v>81</v>
      </c>
      <c r="B18" s="22"/>
      <c r="C18" s="154">
        <v>2E-3</v>
      </c>
      <c r="D18" s="154">
        <f>+C18</f>
        <v>2E-3</v>
      </c>
      <c r="E18" s="154">
        <f>+D18</f>
        <v>2E-3</v>
      </c>
      <c r="F18" s="154">
        <f>+E18</f>
        <v>2E-3</v>
      </c>
      <c r="G18" s="154">
        <f>+F18</f>
        <v>2E-3</v>
      </c>
      <c r="H18" s="154">
        <f>+G18</f>
        <v>2E-3</v>
      </c>
    </row>
    <row r="19" spans="1:8" x14ac:dyDescent="0.25">
      <c r="A19" s="21" t="s">
        <v>82</v>
      </c>
      <c r="B19" s="22"/>
      <c r="C19" s="154">
        <v>5.0000000000000001E-4</v>
      </c>
      <c r="D19" s="154">
        <f>C19</f>
        <v>5.0000000000000001E-4</v>
      </c>
      <c r="E19" s="154">
        <f>D19</f>
        <v>5.0000000000000001E-4</v>
      </c>
      <c r="F19" s="154">
        <f>E19</f>
        <v>5.0000000000000001E-4</v>
      </c>
      <c r="G19" s="154">
        <f>F19</f>
        <v>5.0000000000000001E-4</v>
      </c>
      <c r="H19" s="154">
        <f>G19</f>
        <v>5.0000000000000001E-4</v>
      </c>
    </row>
    <row r="20" spans="1:8" x14ac:dyDescent="0.25">
      <c r="A20" s="21" t="s">
        <v>83</v>
      </c>
      <c r="B20" s="22">
        <f>B35/(B34-B30)</f>
        <v>3.8555691554467565E-2</v>
      </c>
      <c r="C20" s="154">
        <f>+B20</f>
        <v>3.8555691554467565E-2</v>
      </c>
      <c r="D20" s="154">
        <f t="shared" ref="D20:H21" si="5">+C20</f>
        <v>3.8555691554467565E-2</v>
      </c>
      <c r="E20" s="154">
        <f t="shared" si="5"/>
        <v>3.8555691554467565E-2</v>
      </c>
      <c r="F20" s="154">
        <f t="shared" si="5"/>
        <v>3.8555691554467565E-2</v>
      </c>
      <c r="G20" s="154">
        <f t="shared" si="5"/>
        <v>3.8555691554467565E-2</v>
      </c>
      <c r="H20" s="154">
        <f t="shared" si="5"/>
        <v>3.8555691554467565E-2</v>
      </c>
    </row>
    <row r="21" spans="1:8" x14ac:dyDescent="0.25">
      <c r="A21" s="21" t="s">
        <v>203</v>
      </c>
      <c r="B21" s="22">
        <f>B36/-(B37-B30)</f>
        <v>7.8601694915254233E-2</v>
      </c>
      <c r="C21" s="154">
        <f>+B21</f>
        <v>7.8601694915254233E-2</v>
      </c>
      <c r="D21" s="154">
        <f t="shared" si="5"/>
        <v>7.8601694915254233E-2</v>
      </c>
      <c r="E21" s="154">
        <f t="shared" si="5"/>
        <v>7.8601694915254233E-2</v>
      </c>
      <c r="F21" s="154">
        <f t="shared" si="5"/>
        <v>7.8601694915254233E-2</v>
      </c>
      <c r="G21" s="154">
        <f t="shared" si="5"/>
        <v>7.8601694915254233E-2</v>
      </c>
      <c r="H21" s="154">
        <f t="shared" si="5"/>
        <v>7.8601694915254233E-2</v>
      </c>
    </row>
    <row r="22" spans="1:8" x14ac:dyDescent="0.25">
      <c r="A22" s="21" t="s">
        <v>158</v>
      </c>
      <c r="B22" s="22">
        <f>B77/B76</f>
        <v>0.582782690498589</v>
      </c>
      <c r="C22" s="22">
        <f t="shared" ref="C22:H22" ca="1" si="6">C77/C76</f>
        <v>0.52765759544811131</v>
      </c>
      <c r="D22" s="22">
        <f t="shared" ca="1" si="6"/>
        <v>0.51783599283740522</v>
      </c>
      <c r="E22" s="22">
        <f t="shared" ca="1" si="6"/>
        <v>0.5024344197375652</v>
      </c>
      <c r="F22" s="22">
        <f t="shared" ca="1" si="6"/>
        <v>0.4913420691981526</v>
      </c>
      <c r="G22" s="22">
        <f t="shared" ca="1" si="6"/>
        <v>0.47935911886631849</v>
      </c>
      <c r="H22" s="22">
        <f t="shared" ca="1" si="6"/>
        <v>0.46751631325127352</v>
      </c>
    </row>
    <row r="23" spans="1:8" x14ac:dyDescent="0.25">
      <c r="A23" s="21" t="s">
        <v>159</v>
      </c>
      <c r="B23" s="22"/>
      <c r="C23" s="22">
        <f>C77/B77-1</f>
        <v>4.5454545454545414E-2</v>
      </c>
      <c r="D23" s="156">
        <f>C23</f>
        <v>4.5454545454545414E-2</v>
      </c>
      <c r="E23" s="156">
        <f>D23</f>
        <v>4.5454545454545414E-2</v>
      </c>
      <c r="F23" s="156">
        <f>E23</f>
        <v>4.5454545454545414E-2</v>
      </c>
      <c r="G23" s="156">
        <f>F23</f>
        <v>4.5454545454545414E-2</v>
      </c>
      <c r="H23" s="156">
        <f>G23</f>
        <v>4.5454545454545414E-2</v>
      </c>
    </row>
    <row r="25" spans="1:8" x14ac:dyDescent="0.25">
      <c r="A25" s="19" t="s">
        <v>9</v>
      </c>
    </row>
    <row r="26" spans="1:8" x14ac:dyDescent="0.25">
      <c r="A26" s="25" t="s">
        <v>10</v>
      </c>
      <c r="B26" s="157">
        <v>46467</v>
      </c>
      <c r="C26" s="26">
        <f t="shared" ref="C26:H26" si="7">B26*(1+C10)</f>
        <v>48790.35</v>
      </c>
      <c r="D26" s="26">
        <f t="shared" si="7"/>
        <v>51229.8675</v>
      </c>
      <c r="E26" s="26">
        <f t="shared" si="7"/>
        <v>53535.211537499999</v>
      </c>
      <c r="F26" s="26">
        <f t="shared" si="7"/>
        <v>55676.619999000002</v>
      </c>
      <c r="G26" s="26">
        <f t="shared" si="7"/>
        <v>57625.301698964999</v>
      </c>
      <c r="H26" s="26">
        <f t="shared" si="7"/>
        <v>59642.18725842877</v>
      </c>
    </row>
    <row r="27" spans="1:8" x14ac:dyDescent="0.25">
      <c r="A27" s="25" t="s">
        <v>11</v>
      </c>
      <c r="B27" s="35">
        <f>B29-B28</f>
        <v>7975</v>
      </c>
      <c r="C27" s="26">
        <f t="shared" ref="C27:H27" si="8">C11*C26</f>
        <v>8373.75</v>
      </c>
      <c r="D27" s="26">
        <f t="shared" si="8"/>
        <v>8792.4375</v>
      </c>
      <c r="E27" s="26">
        <f t="shared" si="8"/>
        <v>9188.0971874999996</v>
      </c>
      <c r="F27" s="26">
        <f t="shared" si="8"/>
        <v>9555.6210750000009</v>
      </c>
      <c r="G27" s="26">
        <f t="shared" si="8"/>
        <v>9890.0678126250004</v>
      </c>
      <c r="H27" s="26">
        <f t="shared" si="8"/>
        <v>10236.220186066874</v>
      </c>
    </row>
    <row r="28" spans="1:8" x14ac:dyDescent="0.25">
      <c r="A28" s="27" t="s">
        <v>96</v>
      </c>
      <c r="B28" s="158">
        <f>-883-191</f>
        <v>-1074</v>
      </c>
      <c r="C28" s="28">
        <f t="shared" ref="C28:H28" si="9">C42/-C17</f>
        <v>-1127.6999999999998</v>
      </c>
      <c r="D28" s="28">
        <f t="shared" si="9"/>
        <v>-1184.0849999999998</v>
      </c>
      <c r="E28" s="28">
        <f t="shared" si="9"/>
        <v>-1237.368825</v>
      </c>
      <c r="F28" s="28">
        <f t="shared" si="9"/>
        <v>-1286.8635780000002</v>
      </c>
      <c r="G28" s="28">
        <f t="shared" si="9"/>
        <v>-1331.90380323</v>
      </c>
      <c r="H28" s="28">
        <f t="shared" si="9"/>
        <v>-1378.5204363430498</v>
      </c>
    </row>
    <row r="29" spans="1:8" x14ac:dyDescent="0.25">
      <c r="A29" s="10" t="s">
        <v>26</v>
      </c>
      <c r="B29" s="159">
        <f>6433-B30</f>
        <v>6901</v>
      </c>
      <c r="C29" s="29">
        <f t="shared" ref="C29:H29" si="10">C27+C28</f>
        <v>7246.05</v>
      </c>
      <c r="D29" s="29">
        <f t="shared" si="10"/>
        <v>7608.3525</v>
      </c>
      <c r="E29" s="29">
        <f t="shared" si="10"/>
        <v>7950.7283625</v>
      </c>
      <c r="F29" s="29">
        <f t="shared" si="10"/>
        <v>8268.7574970000005</v>
      </c>
      <c r="G29" s="29">
        <f t="shared" si="10"/>
        <v>8558.1640093950009</v>
      </c>
      <c r="H29" s="29">
        <f t="shared" si="10"/>
        <v>8857.6997497238244</v>
      </c>
    </row>
    <row r="30" spans="1:8" x14ac:dyDescent="0.25">
      <c r="A30" s="10" t="s">
        <v>75</v>
      </c>
      <c r="B30" s="159">
        <f>-612+144</f>
        <v>-468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</row>
    <row r="31" spans="1:8" x14ac:dyDescent="0.25">
      <c r="A31" s="30" t="s">
        <v>12</v>
      </c>
      <c r="B31" s="158">
        <f>-377</f>
        <v>-377</v>
      </c>
      <c r="C31" s="28">
        <f t="shared" ref="C31:H31" ca="1" si="11">C12*-(B47+C47)/2</f>
        <v>-334.57533634891359</v>
      </c>
      <c r="D31" s="28">
        <f t="shared" ca="1" si="11"/>
        <v>-245.67401187292705</v>
      </c>
      <c r="E31" s="28">
        <f t="shared" ca="1" si="11"/>
        <v>-178.91103731622258</v>
      </c>
      <c r="F31" s="28">
        <f t="shared" ca="1" si="11"/>
        <v>-132.88037733009912</v>
      </c>
      <c r="G31" s="28">
        <f t="shared" ca="1" si="11"/>
        <v>-86.506229504551783</v>
      </c>
      <c r="H31" s="28">
        <f t="shared" ca="1" si="11"/>
        <v>-41.013574626935409</v>
      </c>
    </row>
    <row r="32" spans="1:8" x14ac:dyDescent="0.25">
      <c r="A32" s="31" t="s">
        <v>13</v>
      </c>
      <c r="B32" s="29">
        <f>B29+B30+B31</f>
        <v>6056</v>
      </c>
      <c r="C32" s="29">
        <f t="shared" ref="C32:H32" ca="1" si="12">C29+C30+C31</f>
        <v>6911.4746636510863</v>
      </c>
      <c r="D32" s="29">
        <f t="shared" ca="1" si="12"/>
        <v>7362.6784881270733</v>
      </c>
      <c r="E32" s="29">
        <f t="shared" ca="1" si="12"/>
        <v>7771.817325183777</v>
      </c>
      <c r="F32" s="29">
        <f t="shared" ca="1" si="12"/>
        <v>8135.8771196699017</v>
      </c>
      <c r="G32" s="29">
        <f t="shared" ca="1" si="12"/>
        <v>8471.6577798904491</v>
      </c>
      <c r="H32" s="29">
        <f t="shared" ca="1" si="12"/>
        <v>8816.6861750968892</v>
      </c>
    </row>
    <row r="33" spans="1:8" x14ac:dyDescent="0.25">
      <c r="A33" s="27" t="s">
        <v>14</v>
      </c>
      <c r="B33" s="158">
        <v>-1622</v>
      </c>
      <c r="C33" s="28">
        <f t="shared" ref="C33:H33" ca="1" si="13">C32*-C13</f>
        <v>-1796.9834125492825</v>
      </c>
      <c r="D33" s="28">
        <f t="shared" ca="1" si="13"/>
        <v>-1914.2964069130392</v>
      </c>
      <c r="E33" s="28">
        <f t="shared" ca="1" si="13"/>
        <v>-2020.6725045477822</v>
      </c>
      <c r="F33" s="28">
        <f t="shared" ca="1" si="13"/>
        <v>-2115.3280511141747</v>
      </c>
      <c r="G33" s="28">
        <f t="shared" ca="1" si="13"/>
        <v>-2202.6310227715167</v>
      </c>
      <c r="H33" s="28">
        <f t="shared" ca="1" si="13"/>
        <v>-2292.3384055251913</v>
      </c>
    </row>
    <row r="34" spans="1:8" x14ac:dyDescent="0.25">
      <c r="A34" s="31" t="s">
        <v>15</v>
      </c>
      <c r="B34" s="29">
        <f>B32+B33</f>
        <v>4434</v>
      </c>
      <c r="C34" s="29">
        <f t="shared" ref="C34:H34" ca="1" si="14">C32+C33</f>
        <v>5114.4912511018038</v>
      </c>
      <c r="D34" s="29">
        <f t="shared" ca="1" si="14"/>
        <v>5448.3820812140339</v>
      </c>
      <c r="E34" s="29">
        <f t="shared" ca="1" si="14"/>
        <v>5751.1448206359946</v>
      </c>
      <c r="F34" s="29">
        <f t="shared" ca="1" si="14"/>
        <v>6020.549068555727</v>
      </c>
      <c r="G34" s="29">
        <f t="shared" ca="1" si="14"/>
        <v>6269.0267571189324</v>
      </c>
      <c r="H34" s="29">
        <f t="shared" ca="1" si="14"/>
        <v>6524.3477695716974</v>
      </c>
    </row>
    <row r="35" spans="1:8" x14ac:dyDescent="0.25">
      <c r="A35" s="31" t="s">
        <v>74</v>
      </c>
      <c r="B35" s="159">
        <f>113+76</f>
        <v>189</v>
      </c>
      <c r="C35" s="26">
        <f t="shared" ref="C35:H35" ca="1" si="15">(C34-C30)*C20</f>
        <v>197.19274713550408</v>
      </c>
      <c r="D35" s="26">
        <f t="shared" ca="1" si="15"/>
        <v>210.06613899417633</v>
      </c>
      <c r="E35" s="26">
        <f t="shared" ca="1" si="15"/>
        <v>221.73936578951509</v>
      </c>
      <c r="F35" s="26">
        <f t="shared" ca="1" si="15"/>
        <v>232.1264328757716</v>
      </c>
      <c r="G35" s="26">
        <f t="shared" ca="1" si="15"/>
        <v>241.70666199418162</v>
      </c>
      <c r="H35" s="26">
        <f t="shared" ca="1" si="15"/>
        <v>251.5507401976848</v>
      </c>
    </row>
    <row r="36" spans="1:8" x14ac:dyDescent="0.25">
      <c r="A36" s="32" t="s">
        <v>200</v>
      </c>
      <c r="B36" s="158">
        <v>-371</v>
      </c>
      <c r="C36" s="28">
        <f t="shared" ref="C36:H36" ca="1" si="16">(C34-C30)*-C21</f>
        <v>-402.0076809658409</v>
      </c>
      <c r="D36" s="28">
        <f t="shared" ca="1" si="16"/>
        <v>-428.2520661293234</v>
      </c>
      <c r="E36" s="28">
        <f t="shared" ca="1" si="16"/>
        <v>-452.04973060507496</v>
      </c>
      <c r="F36" s="28">
        <f t="shared" ca="1" si="16"/>
        <v>-473.22536110893532</v>
      </c>
      <c r="G36" s="28">
        <f t="shared" ca="1" si="16"/>
        <v>-492.75612857862791</v>
      </c>
      <c r="H36" s="28">
        <f t="shared" ca="1" si="16"/>
        <v>-512.82479290489403</v>
      </c>
    </row>
    <row r="37" spans="1:8" x14ac:dyDescent="0.25">
      <c r="A37" s="33" t="s">
        <v>45</v>
      </c>
      <c r="B37" s="29">
        <f>B34+B35+B36</f>
        <v>4252</v>
      </c>
      <c r="C37" s="29">
        <f t="shared" ref="C37:H37" ca="1" si="17">C34+C35+C36</f>
        <v>4909.6763172714664</v>
      </c>
      <c r="D37" s="29">
        <f t="shared" ca="1" si="17"/>
        <v>5230.1961540788861</v>
      </c>
      <c r="E37" s="29">
        <f t="shared" ca="1" si="17"/>
        <v>5520.8344558204353</v>
      </c>
      <c r="F37" s="29">
        <f t="shared" ca="1" si="17"/>
        <v>5779.4501403225631</v>
      </c>
      <c r="G37" s="29">
        <f t="shared" ca="1" si="17"/>
        <v>6017.9772905344862</v>
      </c>
      <c r="H37" s="29">
        <f t="shared" ca="1" si="17"/>
        <v>6263.0737168644882</v>
      </c>
    </row>
    <row r="39" spans="1:8" x14ac:dyDescent="0.25">
      <c r="A39" s="19" t="s">
        <v>27</v>
      </c>
    </row>
    <row r="40" spans="1:8" x14ac:dyDescent="0.25">
      <c r="A40" s="5" t="s">
        <v>76</v>
      </c>
      <c r="B40" s="157">
        <f>478+632</f>
        <v>1110</v>
      </c>
      <c r="C40" s="26">
        <f t="shared" ref="C40:H40" ca="1" si="18">B40+C35</f>
        <v>1307.1927471355041</v>
      </c>
      <c r="D40" s="26">
        <f t="shared" ca="1" si="18"/>
        <v>1517.2588861296804</v>
      </c>
      <c r="E40" s="26">
        <f t="shared" ca="1" si="18"/>
        <v>1738.9982519191954</v>
      </c>
      <c r="F40" s="26">
        <f t="shared" ca="1" si="18"/>
        <v>1971.1246847949669</v>
      </c>
      <c r="G40" s="26">
        <f t="shared" ca="1" si="18"/>
        <v>2212.8313467891485</v>
      </c>
      <c r="H40" s="26">
        <f t="shared" ca="1" si="18"/>
        <v>2464.3820869868332</v>
      </c>
    </row>
    <row r="41" spans="1:8" x14ac:dyDescent="0.25">
      <c r="A41" s="5" t="s">
        <v>77</v>
      </c>
      <c r="B41" s="157">
        <v>14896</v>
      </c>
      <c r="C41" s="26">
        <f t="shared" ref="C41:H41" si="19">B41</f>
        <v>14896</v>
      </c>
      <c r="D41" s="26">
        <f t="shared" si="19"/>
        <v>14896</v>
      </c>
      <c r="E41" s="26">
        <f t="shared" si="19"/>
        <v>14896</v>
      </c>
      <c r="F41" s="26">
        <f t="shared" si="19"/>
        <v>14896</v>
      </c>
      <c r="G41" s="26">
        <f t="shared" si="19"/>
        <v>14896</v>
      </c>
      <c r="H41" s="26">
        <f t="shared" si="19"/>
        <v>14896</v>
      </c>
    </row>
    <row r="42" spans="1:8" x14ac:dyDescent="0.25">
      <c r="A42" s="5" t="s">
        <v>102</v>
      </c>
      <c r="B42" s="157">
        <f>7017+8774</f>
        <v>15791</v>
      </c>
      <c r="C42" s="26">
        <f t="shared" ref="C42:H42" si="20">C26/C14</f>
        <v>16580.55</v>
      </c>
      <c r="D42" s="26">
        <f t="shared" si="20"/>
        <v>17409.577499999999</v>
      </c>
      <c r="E42" s="26">
        <f t="shared" si="20"/>
        <v>18193.008487499999</v>
      </c>
      <c r="F42" s="26">
        <f t="shared" si="20"/>
        <v>18920.728827000003</v>
      </c>
      <c r="G42" s="26">
        <f t="shared" si="20"/>
        <v>19582.954335945</v>
      </c>
      <c r="H42" s="26">
        <f t="shared" si="20"/>
        <v>20268.357737703074</v>
      </c>
    </row>
    <row r="43" spans="1:8" x14ac:dyDescent="0.25">
      <c r="A43" s="5" t="s">
        <v>51</v>
      </c>
      <c r="B43" s="26">
        <f t="shared" ref="B43:H43" si="21">B40+B41+B42</f>
        <v>31797</v>
      </c>
      <c r="C43" s="26">
        <f t="shared" ca="1" si="21"/>
        <v>32783.742747135504</v>
      </c>
      <c r="D43" s="26">
        <f t="shared" ca="1" si="21"/>
        <v>33822.836386129682</v>
      </c>
      <c r="E43" s="26">
        <f t="shared" ca="1" si="21"/>
        <v>34828.006739419194</v>
      </c>
      <c r="F43" s="26">
        <f t="shared" ca="1" si="21"/>
        <v>35787.853511794965</v>
      </c>
      <c r="G43" s="26">
        <f t="shared" ca="1" si="21"/>
        <v>36691.785682734146</v>
      </c>
      <c r="H43" s="26">
        <f t="shared" ca="1" si="21"/>
        <v>37628.73982468991</v>
      </c>
    </row>
    <row r="44" spans="1:8" x14ac:dyDescent="0.25">
      <c r="A44" s="30" t="s">
        <v>16</v>
      </c>
      <c r="B44" s="158">
        <f>4601+4513+219+21-10971-725-393</f>
        <v>-2735</v>
      </c>
      <c r="C44" s="28">
        <f t="shared" ref="C44:H44" si="22">C26/C15</f>
        <v>-2871.75</v>
      </c>
      <c r="D44" s="28">
        <f t="shared" si="22"/>
        <v>-3015.3375000000001</v>
      </c>
      <c r="E44" s="28">
        <f t="shared" si="22"/>
        <v>-3151.0276875</v>
      </c>
      <c r="F44" s="28">
        <f t="shared" si="22"/>
        <v>-3277.0687950000001</v>
      </c>
      <c r="G44" s="28">
        <f t="shared" si="22"/>
        <v>-3391.7662028249997</v>
      </c>
      <c r="H44" s="28">
        <f t="shared" si="22"/>
        <v>-3510.4780199238749</v>
      </c>
    </row>
    <row r="45" spans="1:8" x14ac:dyDescent="0.25">
      <c r="A45" s="5" t="s">
        <v>17</v>
      </c>
      <c r="B45" s="26">
        <f>B43+B44</f>
        <v>29062</v>
      </c>
      <c r="C45" s="26">
        <f t="shared" ref="C45:H45" ca="1" si="23">C43+C44</f>
        <v>29911.992747135504</v>
      </c>
      <c r="D45" s="26">
        <f t="shared" ca="1" si="23"/>
        <v>30807.498886129681</v>
      </c>
      <c r="E45" s="26">
        <f t="shared" ca="1" si="23"/>
        <v>31676.979051919196</v>
      </c>
      <c r="F45" s="26">
        <f t="shared" ca="1" si="23"/>
        <v>32510.784716794966</v>
      </c>
      <c r="G45" s="26">
        <f t="shared" ca="1" si="23"/>
        <v>33300.019479909148</v>
      </c>
      <c r="H45" s="26">
        <f t="shared" ca="1" si="23"/>
        <v>34118.261804766036</v>
      </c>
    </row>
    <row r="46" spans="1:8" x14ac:dyDescent="0.25">
      <c r="B46" s="34"/>
      <c r="C46" s="26"/>
      <c r="D46" s="26"/>
      <c r="E46" s="26"/>
      <c r="F46" s="26"/>
      <c r="G46" s="26"/>
      <c r="H46" s="26"/>
    </row>
    <row r="47" spans="1:8" x14ac:dyDescent="0.25">
      <c r="A47" s="25" t="s">
        <v>18</v>
      </c>
      <c r="B47" s="157">
        <f>7878+5840-3484-1453</f>
        <v>8781</v>
      </c>
      <c r="C47" s="26">
        <f t="shared" ref="C47:H47" ca="1" si="24">B47-C67</f>
        <v>6804.7083738981964</v>
      </c>
      <c r="D47" s="26">
        <f t="shared" ca="1" si="24"/>
        <v>4639.6603171159795</v>
      </c>
      <c r="E47" s="26">
        <f t="shared" ca="1" si="24"/>
        <v>3694.6517182885318</v>
      </c>
      <c r="F47" s="26">
        <f t="shared" ca="1" si="24"/>
        <v>2495.3885646589497</v>
      </c>
      <c r="G47" s="26">
        <f t="shared" ca="1" si="24"/>
        <v>1534.3790813859796</v>
      </c>
      <c r="H47" s="26">
        <f t="shared" ca="1" si="24"/>
        <v>376.1790024289794</v>
      </c>
    </row>
    <row r="48" spans="1:8" x14ac:dyDescent="0.25">
      <c r="A48" s="5" t="s">
        <v>78</v>
      </c>
      <c r="B48" s="157">
        <f>2295+1911</f>
        <v>4206</v>
      </c>
      <c r="C48" s="26">
        <f t="shared" ref="C48:H49" si="25">B48+C59</f>
        <v>4286.8332</v>
      </c>
      <c r="D48" s="26">
        <f t="shared" si="25"/>
        <v>4371.7080599999999</v>
      </c>
      <c r="E48" s="26">
        <f t="shared" si="25"/>
        <v>4460.4022887000001</v>
      </c>
      <c r="F48" s="26">
        <f t="shared" si="25"/>
        <v>4552.6442865480003</v>
      </c>
      <c r="G48" s="26">
        <f t="shared" si="25"/>
        <v>4648.1147543206807</v>
      </c>
      <c r="H48" s="26">
        <f t="shared" si="25"/>
        <v>4746.9266884654044</v>
      </c>
    </row>
    <row r="49" spans="1:8" x14ac:dyDescent="0.25">
      <c r="A49" s="5" t="s">
        <v>88</v>
      </c>
      <c r="B49" s="157">
        <f>258+908+1125+287-1003-421</f>
        <v>1154</v>
      </c>
      <c r="C49" s="26">
        <f t="shared" si="25"/>
        <v>1178.3951750000001</v>
      </c>
      <c r="D49" s="26">
        <f t="shared" si="25"/>
        <v>1204.0101087500002</v>
      </c>
      <c r="E49" s="26">
        <f t="shared" si="25"/>
        <v>1230.7777145187501</v>
      </c>
      <c r="F49" s="26">
        <f t="shared" si="25"/>
        <v>1258.6160245182502</v>
      </c>
      <c r="G49" s="26">
        <f t="shared" si="25"/>
        <v>1287.4286753677327</v>
      </c>
      <c r="H49" s="26">
        <f t="shared" si="25"/>
        <v>1317.2497689969471</v>
      </c>
    </row>
    <row r="50" spans="1:8" x14ac:dyDescent="0.25">
      <c r="A50" s="25" t="s">
        <v>201</v>
      </c>
      <c r="B50" s="157">
        <v>628</v>
      </c>
      <c r="C50" s="26">
        <f t="shared" ref="C50:H50" ca="1" si="26">B50-C36</f>
        <v>1030.0076809658408</v>
      </c>
      <c r="D50" s="26">
        <f t="shared" ca="1" si="26"/>
        <v>1458.2597470951641</v>
      </c>
      <c r="E50" s="26">
        <f t="shared" ca="1" si="26"/>
        <v>1910.3094777002391</v>
      </c>
      <c r="F50" s="26">
        <f t="shared" ca="1" si="26"/>
        <v>2383.5348388091743</v>
      </c>
      <c r="G50" s="26">
        <f t="shared" ca="1" si="26"/>
        <v>2876.2909673878021</v>
      </c>
      <c r="H50" s="26">
        <f t="shared" ca="1" si="26"/>
        <v>3389.115760292696</v>
      </c>
    </row>
    <row r="51" spans="1:8" x14ac:dyDescent="0.25">
      <c r="A51" s="27" t="s">
        <v>19</v>
      </c>
      <c r="B51" s="158">
        <v>14293</v>
      </c>
      <c r="C51" s="28">
        <f t="shared" ref="C51:H51" ca="1" si="27">C52-C47-C48-C49-C50</f>
        <v>16612.048317271463</v>
      </c>
      <c r="D51" s="28">
        <f t="shared" ca="1" si="27"/>
        <v>19133.860653168536</v>
      </c>
      <c r="E51" s="28">
        <f t="shared" ca="1" si="27"/>
        <v>20380.837852711673</v>
      </c>
      <c r="F51" s="28">
        <f t="shared" ca="1" si="27"/>
        <v>21820.601002260595</v>
      </c>
      <c r="G51" s="28">
        <f t="shared" ca="1" si="27"/>
        <v>22953.806001446948</v>
      </c>
      <c r="H51" s="28">
        <f t="shared" ca="1" si="27"/>
        <v>24288.790584582006</v>
      </c>
    </row>
    <row r="52" spans="1:8" x14ac:dyDescent="0.25">
      <c r="A52" s="5" t="s">
        <v>17</v>
      </c>
      <c r="B52" s="35">
        <f>B47+B48+B49+B50+B51</f>
        <v>29062</v>
      </c>
      <c r="C52" s="26">
        <f t="shared" ref="C52:H52" ca="1" si="28">C45</f>
        <v>29911.992747135504</v>
      </c>
      <c r="D52" s="26">
        <f t="shared" ca="1" si="28"/>
        <v>30807.498886129681</v>
      </c>
      <c r="E52" s="26">
        <f t="shared" ca="1" si="28"/>
        <v>31676.979051919196</v>
      </c>
      <c r="F52" s="26">
        <f t="shared" ca="1" si="28"/>
        <v>32510.784716794966</v>
      </c>
      <c r="G52" s="26">
        <f t="shared" ca="1" si="28"/>
        <v>33300.019479909148</v>
      </c>
      <c r="H52" s="26">
        <f t="shared" ca="1" si="28"/>
        <v>34118.261804766036</v>
      </c>
    </row>
    <row r="53" spans="1:8" x14ac:dyDescent="0.25">
      <c r="A53" s="36" t="s">
        <v>46</v>
      </c>
      <c r="B53" s="37">
        <f>B45-B52</f>
        <v>0</v>
      </c>
      <c r="C53" s="37">
        <f t="shared" ref="C53:H53" ca="1" si="29">C47-B47+C67</f>
        <v>0</v>
      </c>
      <c r="D53" s="37">
        <f t="shared" ca="1" si="29"/>
        <v>0</v>
      </c>
      <c r="E53" s="37">
        <f t="shared" ca="1" si="29"/>
        <v>0</v>
      </c>
      <c r="F53" s="37">
        <f t="shared" ca="1" si="29"/>
        <v>0</v>
      </c>
      <c r="G53" s="37">
        <f t="shared" ca="1" si="29"/>
        <v>0</v>
      </c>
      <c r="H53" s="37">
        <f t="shared" ca="1" si="29"/>
        <v>0</v>
      </c>
    </row>
    <row r="54" spans="1:8" x14ac:dyDescent="0.25">
      <c r="B54" s="26"/>
      <c r="C54" s="26"/>
      <c r="D54" s="26"/>
      <c r="E54" s="26"/>
      <c r="F54" s="26"/>
      <c r="G54" s="26"/>
      <c r="H54" s="26"/>
    </row>
    <row r="55" spans="1:8" x14ac:dyDescent="0.25">
      <c r="A55" s="19" t="s">
        <v>20</v>
      </c>
      <c r="B55" s="26"/>
      <c r="C55" s="26"/>
      <c r="D55" s="26"/>
      <c r="E55" s="26"/>
      <c r="F55" s="26"/>
      <c r="G55" s="26"/>
      <c r="H55" s="26"/>
    </row>
    <row r="56" spans="1:8" x14ac:dyDescent="0.25">
      <c r="A56" s="5" t="s">
        <v>45</v>
      </c>
      <c r="B56" s="26"/>
      <c r="C56" s="26">
        <f t="shared" ref="C56:H56" ca="1" si="30">C37</f>
        <v>4909.6763172714664</v>
      </c>
      <c r="D56" s="26">
        <f t="shared" ca="1" si="30"/>
        <v>5230.1961540788861</v>
      </c>
      <c r="E56" s="26">
        <f t="shared" ca="1" si="30"/>
        <v>5520.8344558204353</v>
      </c>
      <c r="F56" s="26">
        <f t="shared" ca="1" si="30"/>
        <v>5779.4501403225631</v>
      </c>
      <c r="G56" s="26">
        <f t="shared" ca="1" si="30"/>
        <v>6017.9772905344862</v>
      </c>
      <c r="H56" s="26">
        <f t="shared" ca="1" si="30"/>
        <v>6263.0737168644882</v>
      </c>
    </row>
    <row r="57" spans="1:8" x14ac:dyDescent="0.25">
      <c r="A57" s="5" t="s">
        <v>44</v>
      </c>
      <c r="B57" s="26"/>
      <c r="C57" s="26">
        <f t="shared" ref="C57:H57" ca="1" si="31">-C36</f>
        <v>402.0076809658409</v>
      </c>
      <c r="D57" s="26">
        <f t="shared" ca="1" si="31"/>
        <v>428.2520661293234</v>
      </c>
      <c r="E57" s="26">
        <f t="shared" ca="1" si="31"/>
        <v>452.04973060507496</v>
      </c>
      <c r="F57" s="26">
        <f t="shared" ca="1" si="31"/>
        <v>473.22536110893532</v>
      </c>
      <c r="G57" s="26">
        <f t="shared" ca="1" si="31"/>
        <v>492.75612857862791</v>
      </c>
      <c r="H57" s="26">
        <f t="shared" ca="1" si="31"/>
        <v>512.82479290489403</v>
      </c>
    </row>
    <row r="58" spans="1:8" x14ac:dyDescent="0.25">
      <c r="A58" s="5" t="s">
        <v>160</v>
      </c>
      <c r="B58" s="35"/>
      <c r="C58" s="35">
        <f t="shared" ref="C58:H58" ca="1" si="32">-C35</f>
        <v>-197.19274713550408</v>
      </c>
      <c r="D58" s="35">
        <f t="shared" ca="1" si="32"/>
        <v>-210.06613899417633</v>
      </c>
      <c r="E58" s="35">
        <f t="shared" ca="1" si="32"/>
        <v>-221.73936578951509</v>
      </c>
      <c r="F58" s="35">
        <f t="shared" ca="1" si="32"/>
        <v>-232.1264328757716</v>
      </c>
      <c r="G58" s="35">
        <f t="shared" ca="1" si="32"/>
        <v>-241.70666199418162</v>
      </c>
      <c r="H58" s="35">
        <f t="shared" ca="1" si="32"/>
        <v>-251.5507401976848</v>
      </c>
    </row>
    <row r="59" spans="1:8" x14ac:dyDescent="0.25">
      <c r="A59" s="5" t="s">
        <v>79</v>
      </c>
      <c r="B59" s="38"/>
      <c r="C59" s="26">
        <f t="shared" ref="C59:H59" si="33">C18*-(C27-C26)</f>
        <v>80.833200000000005</v>
      </c>
      <c r="D59" s="26">
        <f t="shared" si="33"/>
        <v>84.874859999999998</v>
      </c>
      <c r="E59" s="26">
        <f t="shared" si="33"/>
        <v>88.694228700000011</v>
      </c>
      <c r="F59" s="26">
        <f t="shared" si="33"/>
        <v>92.241997847999997</v>
      </c>
      <c r="G59" s="26">
        <f t="shared" si="33"/>
        <v>95.470467772679996</v>
      </c>
      <c r="H59" s="26">
        <f t="shared" si="33"/>
        <v>98.811934144723793</v>
      </c>
    </row>
    <row r="60" spans="1:8" x14ac:dyDescent="0.25">
      <c r="A60" s="5" t="s">
        <v>80</v>
      </c>
      <c r="B60" s="38"/>
      <c r="C60" s="26">
        <f t="shared" ref="C60:H60" si="34">C19*C26</f>
        <v>24.395174999999998</v>
      </c>
      <c r="D60" s="26">
        <f t="shared" si="34"/>
        <v>25.614933750000002</v>
      </c>
      <c r="E60" s="26">
        <f t="shared" si="34"/>
        <v>26.767605768750002</v>
      </c>
      <c r="F60" s="26">
        <f t="shared" si="34"/>
        <v>27.838309999500002</v>
      </c>
      <c r="G60" s="26">
        <f t="shared" si="34"/>
        <v>28.812650849482498</v>
      </c>
      <c r="H60" s="26">
        <f t="shared" si="34"/>
        <v>29.821093629214385</v>
      </c>
    </row>
    <row r="61" spans="1:8" x14ac:dyDescent="0.25">
      <c r="A61" s="5" t="s">
        <v>21</v>
      </c>
      <c r="B61" s="26"/>
      <c r="C61" s="26">
        <f t="shared" ref="C61:H61" si="35">-C28</f>
        <v>1127.6999999999998</v>
      </c>
      <c r="D61" s="26">
        <f t="shared" si="35"/>
        <v>1184.0849999999998</v>
      </c>
      <c r="E61" s="26">
        <f t="shared" si="35"/>
        <v>1237.368825</v>
      </c>
      <c r="F61" s="26">
        <f t="shared" si="35"/>
        <v>1286.8635780000002</v>
      </c>
      <c r="G61" s="26">
        <f t="shared" si="35"/>
        <v>1331.90380323</v>
      </c>
      <c r="H61" s="26">
        <f t="shared" si="35"/>
        <v>1378.5204363430498</v>
      </c>
    </row>
    <row r="62" spans="1:8" x14ac:dyDescent="0.25">
      <c r="A62" s="30" t="s">
        <v>24</v>
      </c>
      <c r="B62" s="39"/>
      <c r="C62" s="28">
        <f t="shared" ref="C62:H62" si="36">-(C44-B44)</f>
        <v>136.75</v>
      </c>
      <c r="D62" s="28">
        <f t="shared" si="36"/>
        <v>143.58750000000009</v>
      </c>
      <c r="E62" s="28">
        <f t="shared" si="36"/>
        <v>135.69018749999987</v>
      </c>
      <c r="F62" s="28">
        <f t="shared" si="36"/>
        <v>126.04110750000018</v>
      </c>
      <c r="G62" s="28">
        <f t="shared" si="36"/>
        <v>114.69740782499957</v>
      </c>
      <c r="H62" s="28">
        <f t="shared" si="36"/>
        <v>118.71181709887514</v>
      </c>
    </row>
    <row r="63" spans="1:8" x14ac:dyDescent="0.25">
      <c r="A63" s="10" t="s">
        <v>22</v>
      </c>
      <c r="B63" s="40"/>
      <c r="C63" s="40">
        <f t="shared" ref="C63:H63" ca="1" si="37">C56+C57+C58+C59+C60+C61+C62</f>
        <v>6484.1696261018033</v>
      </c>
      <c r="D63" s="40">
        <f t="shared" ca="1" si="37"/>
        <v>6886.5443749640344</v>
      </c>
      <c r="E63" s="40">
        <f t="shared" ca="1" si="37"/>
        <v>7239.665667604746</v>
      </c>
      <c r="F63" s="40">
        <f t="shared" ca="1" si="37"/>
        <v>7553.5340619032277</v>
      </c>
      <c r="G63" s="40">
        <f t="shared" ca="1" si="37"/>
        <v>7839.9110867960944</v>
      </c>
      <c r="H63" s="40">
        <f t="shared" ca="1" si="37"/>
        <v>8150.21305078756</v>
      </c>
    </row>
    <row r="64" spans="1:8" x14ac:dyDescent="0.25">
      <c r="A64" s="5" t="s">
        <v>23</v>
      </c>
      <c r="B64" s="38"/>
      <c r="C64" s="26">
        <f t="shared" ref="C64:H64" si="38">-(-C28+C42-B42)</f>
        <v>-1917.25</v>
      </c>
      <c r="D64" s="26">
        <f t="shared" si="38"/>
        <v>-2013.1124999999993</v>
      </c>
      <c r="E64" s="26">
        <f t="shared" si="38"/>
        <v>-2020.7998125000013</v>
      </c>
      <c r="F64" s="26">
        <f t="shared" si="38"/>
        <v>-2014.5839175000037</v>
      </c>
      <c r="G64" s="26">
        <f t="shared" si="38"/>
        <v>-1994.1293121749986</v>
      </c>
      <c r="H64" s="26">
        <f t="shared" si="38"/>
        <v>-2063.9238381011237</v>
      </c>
    </row>
    <row r="65" spans="1:8" x14ac:dyDescent="0.25">
      <c r="A65" s="5" t="s">
        <v>166</v>
      </c>
      <c r="B65" s="35"/>
      <c r="C65" s="157">
        <v>0</v>
      </c>
      <c r="D65" s="157">
        <f>C65</f>
        <v>0</v>
      </c>
      <c r="E65" s="157">
        <v>-1500</v>
      </c>
      <c r="F65" s="157">
        <f>E65</f>
        <v>-1500</v>
      </c>
      <c r="G65" s="157">
        <v>-2000</v>
      </c>
      <c r="H65" s="157">
        <v>-2000</v>
      </c>
    </row>
    <row r="66" spans="1:8" x14ac:dyDescent="0.25">
      <c r="A66" s="30" t="s">
        <v>85</v>
      </c>
      <c r="B66" s="39"/>
      <c r="C66" s="28">
        <f t="shared" ref="C66:H66" si="39">C77*-C75</f>
        <v>-2590.6280000000002</v>
      </c>
      <c r="D66" s="28">
        <f t="shared" si="39"/>
        <v>-2708.3838181818182</v>
      </c>
      <c r="E66" s="28">
        <f t="shared" si="39"/>
        <v>-2773.857256277297</v>
      </c>
      <c r="F66" s="28">
        <f t="shared" si="39"/>
        <v>-2839.6869907736418</v>
      </c>
      <c r="G66" s="28">
        <f t="shared" si="39"/>
        <v>-2884.7722913481257</v>
      </c>
      <c r="H66" s="28">
        <f t="shared" si="39"/>
        <v>-2928.0891337294361</v>
      </c>
    </row>
    <row r="67" spans="1:8" x14ac:dyDescent="0.25">
      <c r="A67" s="5" t="s">
        <v>28</v>
      </c>
      <c r="B67" s="26"/>
      <c r="C67" s="26">
        <f t="shared" ref="C67:H67" ca="1" si="40">C63+C64+C65+C66</f>
        <v>1976.2916261018031</v>
      </c>
      <c r="D67" s="26">
        <f t="shared" ca="1" si="40"/>
        <v>2165.0480567822169</v>
      </c>
      <c r="E67" s="26">
        <f t="shared" ca="1" si="40"/>
        <v>945.00859882744771</v>
      </c>
      <c r="F67" s="26">
        <f t="shared" ca="1" si="40"/>
        <v>1199.2631536295821</v>
      </c>
      <c r="G67" s="26">
        <f t="shared" ca="1" si="40"/>
        <v>961.0094832729701</v>
      </c>
      <c r="H67" s="26">
        <f t="shared" ca="1" si="40"/>
        <v>1158.2000789570002</v>
      </c>
    </row>
    <row r="69" spans="1:8" x14ac:dyDescent="0.25">
      <c r="A69" s="19" t="s">
        <v>30</v>
      </c>
    </row>
    <row r="70" spans="1:8" x14ac:dyDescent="0.25">
      <c r="A70" s="21" t="s">
        <v>31</v>
      </c>
      <c r="B70" s="22">
        <f t="shared" ref="B70:H70" si="41">B29*(1-B13)/B26</f>
        <v>0.11159037768105758</v>
      </c>
      <c r="C70" s="22">
        <f t="shared" si="41"/>
        <v>0.10990035939483936</v>
      </c>
      <c r="D70" s="22">
        <f t="shared" si="41"/>
        <v>0.10990035939483934</v>
      </c>
      <c r="E70" s="22">
        <f t="shared" si="41"/>
        <v>0.10990035939483936</v>
      </c>
      <c r="F70" s="22">
        <f t="shared" si="41"/>
        <v>0.10990035939483936</v>
      </c>
      <c r="G70" s="22">
        <f t="shared" si="41"/>
        <v>0.10990035939483936</v>
      </c>
      <c r="H70" s="22">
        <f t="shared" si="41"/>
        <v>0.10990035939483934</v>
      </c>
    </row>
    <row r="71" spans="1:8" x14ac:dyDescent="0.25">
      <c r="A71" s="5" t="s">
        <v>168</v>
      </c>
      <c r="B71" s="23"/>
      <c r="C71" s="23">
        <f t="shared" ref="C71:H71" si="42">C26/(B45-B40)</f>
        <v>1.7455047939324555</v>
      </c>
      <c r="D71" s="23">
        <f t="shared" ca="1" si="42"/>
        <v>1.7909535287783869</v>
      </c>
      <c r="E71" s="23">
        <f t="shared" ca="1" si="42"/>
        <v>1.8277491593616166</v>
      </c>
      <c r="F71" s="23">
        <f t="shared" ca="1" si="42"/>
        <v>1.8597319695989651</v>
      </c>
      <c r="G71" s="23">
        <f t="shared" ca="1" si="42"/>
        <v>1.8869005626972986</v>
      </c>
      <c r="H71" s="23">
        <f t="shared" ca="1" si="42"/>
        <v>1.9185455758504752</v>
      </c>
    </row>
    <row r="72" spans="1:8" x14ac:dyDescent="0.25">
      <c r="A72" s="21" t="s">
        <v>29</v>
      </c>
      <c r="B72" s="22"/>
      <c r="C72" s="22">
        <f t="shared" ref="C72:H72" si="43">C70*C71</f>
        <v>0.19183160417859188</v>
      </c>
      <c r="D72" s="22">
        <f t="shared" ca="1" si="43"/>
        <v>0.19682643647220047</v>
      </c>
      <c r="E72" s="22">
        <f t="shared" ca="1" si="43"/>
        <v>0.20087028949745719</v>
      </c>
      <c r="F72" s="22">
        <f t="shared" ca="1" si="43"/>
        <v>0.20438521183699873</v>
      </c>
      <c r="G72" s="22">
        <f t="shared" ca="1" si="43"/>
        <v>0.20737104998275774</v>
      </c>
      <c r="H72" s="22">
        <f t="shared" ca="1" si="43"/>
        <v>0.21084884830134623</v>
      </c>
    </row>
    <row r="74" spans="1:8" x14ac:dyDescent="0.25">
      <c r="A74" s="19" t="s">
        <v>32</v>
      </c>
    </row>
    <row r="75" spans="1:8" x14ac:dyDescent="0.25">
      <c r="A75" s="5" t="s">
        <v>33</v>
      </c>
      <c r="B75" s="160">
        <v>2815.9</v>
      </c>
      <c r="C75" s="120">
        <f t="shared" ref="C75:H75" si="44">B75+C65/$B$79</f>
        <v>2815.9</v>
      </c>
      <c r="D75" s="120">
        <f t="shared" si="44"/>
        <v>2815.9</v>
      </c>
      <c r="E75" s="120">
        <f t="shared" si="44"/>
        <v>2758.5824608330149</v>
      </c>
      <c r="F75" s="120">
        <f t="shared" si="44"/>
        <v>2701.2649216660297</v>
      </c>
      <c r="G75" s="120">
        <f t="shared" si="44"/>
        <v>2624.8415361100497</v>
      </c>
      <c r="H75" s="120">
        <f t="shared" si="44"/>
        <v>2548.4181505540696</v>
      </c>
    </row>
    <row r="76" spans="1:8" x14ac:dyDescent="0.25">
      <c r="A76" s="5" t="s">
        <v>97</v>
      </c>
      <c r="B76" s="41">
        <f t="shared" ref="B76:H76" si="45">B37/B75</f>
        <v>1.5099968038637734</v>
      </c>
      <c r="C76" s="41">
        <f t="shared" ca="1" si="45"/>
        <v>1.7435549264077084</v>
      </c>
      <c r="D76" s="41">
        <f t="shared" ca="1" si="45"/>
        <v>1.85737993326428</v>
      </c>
      <c r="E76" s="41">
        <f t="shared" ca="1" si="45"/>
        <v>2.0013302245651547</v>
      </c>
      <c r="F76" s="41">
        <f t="shared" ca="1" si="45"/>
        <v>2.1395347394353439</v>
      </c>
      <c r="G76" s="41">
        <f t="shared" ca="1" si="45"/>
        <v>2.2927011812884444</v>
      </c>
      <c r="H76" s="41">
        <f t="shared" ca="1" si="45"/>
        <v>2.4576318903955339</v>
      </c>
    </row>
    <row r="77" spans="1:8" x14ac:dyDescent="0.25">
      <c r="A77" s="5" t="s">
        <v>34</v>
      </c>
      <c r="B77" s="161">
        <v>0.88</v>
      </c>
      <c r="C77" s="161">
        <v>0.92</v>
      </c>
      <c r="D77" s="41">
        <f>C77*(1+D23)</f>
        <v>0.96181818181818179</v>
      </c>
      <c r="E77" s="41">
        <f>D77*(1+E23)</f>
        <v>1.0055371900826446</v>
      </c>
      <c r="F77" s="41">
        <f>E77*(1+F23)</f>
        <v>1.0512434259954921</v>
      </c>
      <c r="G77" s="41">
        <f>F77*(1+G23)</f>
        <v>1.0990272180861962</v>
      </c>
      <c r="H77" s="41">
        <f>G77*(1+H23)</f>
        <v>1.1489830007264779</v>
      </c>
    </row>
    <row r="79" spans="1:8" x14ac:dyDescent="0.25">
      <c r="A79" s="5" t="str">
        <f>CONCATENATE("Share price in ", Start!K15)</f>
        <v>Share price in Euro</v>
      </c>
      <c r="B79" s="162">
        <v>26.17</v>
      </c>
    </row>
    <row r="80" spans="1:8" x14ac:dyDescent="0.25">
      <c r="B80" s="42"/>
    </row>
  </sheetData>
  <phoneticPr fontId="0" type="noConversion"/>
  <pageMargins left="0.39370078740157483" right="0.39370078740157483" top="0.39370078740157483" bottom="0.39370078740157483" header="0.19685039370078741" footer="0.19685039370078741"/>
  <pageSetup paperSize="9" orientation="landscape" horizontalDpi="4294967292" r:id="rId1"/>
  <headerFooter alignWithMargins="0">
    <oddHeader>&amp;L&amp;"Times New Roman,Regular"&amp;8&amp;F, &amp;A&amp;R&amp;"Times New Roman,Regular"&amp;8&amp;D, &amp;T</oddHeader>
    <oddFooter>&amp;L&amp;"Times New Roman,Regular"&amp;8© BG Training 2003</oddFooter>
  </headerFooter>
  <rowBreaks count="2" manualBreakCount="2">
    <brk id="37" max="7" man="1"/>
    <brk id="6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zoomScaleNormal="100" zoomScaleSheetLayoutView="100" workbookViewId="0">
      <selection activeCell="B79" sqref="B79"/>
    </sheetView>
  </sheetViews>
  <sheetFormatPr defaultRowHeight="15" x14ac:dyDescent="0.25"/>
  <cols>
    <col min="1" max="1" width="38.85546875" style="5" customWidth="1"/>
    <col min="2" max="2" width="10" style="5" bestFit="1" customWidth="1"/>
    <col min="3" max="16384" width="9.140625" style="5"/>
  </cols>
  <sheetData>
    <row r="1" spans="1:9" ht="9.9499999999999993" customHeight="1" x14ac:dyDescent="0.25">
      <c r="A1" s="16"/>
      <c r="B1" s="16"/>
      <c r="C1" s="16"/>
      <c r="D1" s="16"/>
      <c r="E1" s="16"/>
      <c r="F1" s="16"/>
      <c r="G1" s="16"/>
      <c r="H1" s="16"/>
    </row>
    <row r="2" spans="1:9" x14ac:dyDescent="0.25">
      <c r="A2" s="17" t="str">
        <f>CONCATENATE(Start!K12)</f>
        <v>DEF</v>
      </c>
      <c r="B2" s="17"/>
      <c r="C2" s="17"/>
      <c r="D2" s="17"/>
      <c r="E2" s="17"/>
      <c r="F2" s="17"/>
      <c r="G2" s="17"/>
      <c r="H2" s="17"/>
    </row>
    <row r="3" spans="1:9" x14ac:dyDescent="0.25">
      <c r="A3" s="18" t="str">
        <f>CONCATENATE("(",Start!K15," Millions, except per share amounts)")</f>
        <v>(Euro Millions, except per share amounts)</v>
      </c>
      <c r="B3" s="17"/>
      <c r="C3" s="17"/>
      <c r="D3" s="17"/>
      <c r="E3" s="17"/>
      <c r="F3" s="17"/>
      <c r="G3" s="17"/>
      <c r="H3" s="18"/>
      <c r="I3" s="43"/>
    </row>
    <row r="4" spans="1:9" x14ac:dyDescent="0.25">
      <c r="A4" s="16" t="str">
        <f>CONCATENATE(Start!H13," ",Start!K13)</f>
        <v xml:space="preserve">Fiscal Year End December </v>
      </c>
      <c r="B4" s="17"/>
      <c r="C4" s="17"/>
      <c r="D4" s="17"/>
      <c r="E4" s="17"/>
      <c r="F4" s="17"/>
      <c r="G4" s="17"/>
      <c r="H4" s="16"/>
    </row>
    <row r="5" spans="1:9" ht="9.9499999999999993" customHeight="1" x14ac:dyDescent="0.25">
      <c r="A5" s="16"/>
      <c r="B5" s="17"/>
      <c r="C5" s="17"/>
      <c r="D5" s="17"/>
      <c r="E5" s="17"/>
      <c r="F5" s="17"/>
      <c r="G5" s="17"/>
      <c r="H5" s="16"/>
    </row>
    <row r="6" spans="1:9" x14ac:dyDescent="0.25">
      <c r="A6" s="19"/>
      <c r="B6" s="19"/>
      <c r="C6" s="19"/>
      <c r="D6" s="19"/>
      <c r="E6" s="19"/>
      <c r="F6" s="19"/>
      <c r="G6" s="19"/>
      <c r="H6" s="19"/>
    </row>
    <row r="7" spans="1:9" x14ac:dyDescent="0.25">
      <c r="A7" s="19" t="s">
        <v>0</v>
      </c>
      <c r="B7" s="19">
        <f>Acquirer!B7</f>
        <v>0</v>
      </c>
      <c r="C7" s="19">
        <f>Acquirer!C7</f>
        <v>1</v>
      </c>
      <c r="D7" s="19">
        <f>Acquirer!D7</f>
        <v>2</v>
      </c>
      <c r="E7" s="19">
        <f>Acquirer!E7</f>
        <v>3</v>
      </c>
      <c r="F7" s="19">
        <f>Acquirer!F7</f>
        <v>4</v>
      </c>
      <c r="G7" s="19">
        <f>Acquirer!G7</f>
        <v>5</v>
      </c>
      <c r="H7" s="19">
        <f>Acquirer!H7</f>
        <v>6</v>
      </c>
    </row>
    <row r="9" spans="1:9" x14ac:dyDescent="0.25">
      <c r="A9" s="44" t="s">
        <v>8</v>
      </c>
      <c r="B9" s="25"/>
      <c r="C9" s="25"/>
      <c r="D9" s="25"/>
      <c r="E9" s="25"/>
      <c r="F9" s="25"/>
      <c r="G9" s="25"/>
      <c r="H9" s="25"/>
    </row>
    <row r="10" spans="1:9" x14ac:dyDescent="0.25">
      <c r="A10" s="21" t="s">
        <v>1</v>
      </c>
      <c r="B10" s="22"/>
      <c r="C10" s="154">
        <v>0.05</v>
      </c>
      <c r="D10" s="154">
        <f>C10-0.001</f>
        <v>4.9000000000000002E-2</v>
      </c>
      <c r="E10" s="154">
        <f>D10-0.001</f>
        <v>4.8000000000000001E-2</v>
      </c>
      <c r="F10" s="154">
        <f>E10-0.001</f>
        <v>4.7E-2</v>
      </c>
      <c r="G10" s="154">
        <f>F10-0.001</f>
        <v>4.5999999999999999E-2</v>
      </c>
      <c r="H10" s="154">
        <f>G10-0.001</f>
        <v>4.4999999999999998E-2</v>
      </c>
    </row>
    <row r="11" spans="1:9" x14ac:dyDescent="0.25">
      <c r="A11" s="21" t="s">
        <v>2</v>
      </c>
      <c r="B11" s="22">
        <f>B27/B26</f>
        <v>0.14213393143223327</v>
      </c>
      <c r="C11" s="154">
        <v>0.15</v>
      </c>
      <c r="D11" s="154">
        <v>0.15</v>
      </c>
      <c r="E11" s="154">
        <f>D11</f>
        <v>0.15</v>
      </c>
      <c r="F11" s="154">
        <f>E11</f>
        <v>0.15</v>
      </c>
      <c r="G11" s="154">
        <f>F11</f>
        <v>0.15</v>
      </c>
      <c r="H11" s="154">
        <f>G11</f>
        <v>0.15</v>
      </c>
    </row>
    <row r="12" spans="1:9" x14ac:dyDescent="0.25">
      <c r="A12" s="21" t="s">
        <v>3</v>
      </c>
      <c r="B12" s="22">
        <f>B31/-B47</f>
        <v>0.11715797430083144</v>
      </c>
      <c r="C12" s="154">
        <f>B12</f>
        <v>0.11715797430083144</v>
      </c>
      <c r="D12" s="154">
        <f>+C12</f>
        <v>0.11715797430083144</v>
      </c>
      <c r="E12" s="154">
        <f>+D12</f>
        <v>0.11715797430083144</v>
      </c>
      <c r="F12" s="154">
        <f>+E12</f>
        <v>0.11715797430083144</v>
      </c>
      <c r="G12" s="154">
        <f>+F12</f>
        <v>0.11715797430083144</v>
      </c>
      <c r="H12" s="154">
        <f>+G12</f>
        <v>0.11715797430083144</v>
      </c>
    </row>
    <row r="13" spans="1:9" x14ac:dyDescent="0.25">
      <c r="A13" s="21" t="s">
        <v>4</v>
      </c>
      <c r="B13" s="22">
        <f>B33/-(B32-B30)</f>
        <v>0.26435331230283909</v>
      </c>
      <c r="C13" s="154">
        <f>432/B32</f>
        <v>0.25381903642773207</v>
      </c>
      <c r="D13" s="154">
        <f>C13</f>
        <v>0.25381903642773207</v>
      </c>
      <c r="E13" s="154">
        <f>D13</f>
        <v>0.25381903642773207</v>
      </c>
      <c r="F13" s="154">
        <f>E13</f>
        <v>0.25381903642773207</v>
      </c>
      <c r="G13" s="154">
        <f>F13</f>
        <v>0.25381903642773207</v>
      </c>
      <c r="H13" s="154">
        <f>G13</f>
        <v>0.25381903642773207</v>
      </c>
    </row>
    <row r="14" spans="1:9" x14ac:dyDescent="0.25">
      <c r="A14" s="5" t="s">
        <v>5</v>
      </c>
      <c r="B14" s="23">
        <f>B26/B42</f>
        <v>3.6206496519721578</v>
      </c>
      <c r="C14" s="155">
        <f>B14-0.1</f>
        <v>3.5206496519721577</v>
      </c>
      <c r="D14" s="155">
        <f>C14-0.2</f>
        <v>3.3206496519721576</v>
      </c>
      <c r="E14" s="155">
        <f>D14-0.1</f>
        <v>3.2206496519721575</v>
      </c>
      <c r="F14" s="155">
        <f>E14-0.1</f>
        <v>3.1206496519721574</v>
      </c>
      <c r="G14" s="155">
        <f>F14-0.1</f>
        <v>3.0206496519721573</v>
      </c>
      <c r="H14" s="155">
        <f>G14-0.1</f>
        <v>2.9206496519721572</v>
      </c>
    </row>
    <row r="15" spans="1:9" x14ac:dyDescent="0.25">
      <c r="A15" s="5" t="s">
        <v>6</v>
      </c>
      <c r="B15" s="23">
        <f>B26/B44</f>
        <v>69.048672566371678</v>
      </c>
      <c r="C15" s="155">
        <f t="shared" ref="C15:H15" si="0">B15</f>
        <v>69.048672566371678</v>
      </c>
      <c r="D15" s="155">
        <f t="shared" si="0"/>
        <v>69.048672566371678</v>
      </c>
      <c r="E15" s="155">
        <f t="shared" si="0"/>
        <v>69.048672566371678</v>
      </c>
      <c r="F15" s="155">
        <f t="shared" si="0"/>
        <v>69.048672566371678</v>
      </c>
      <c r="G15" s="155">
        <f t="shared" si="0"/>
        <v>69.048672566371678</v>
      </c>
      <c r="H15" s="155">
        <f t="shared" si="0"/>
        <v>69.048672566371678</v>
      </c>
    </row>
    <row r="16" spans="1:9" x14ac:dyDescent="0.25">
      <c r="A16" s="21" t="s">
        <v>7</v>
      </c>
      <c r="B16" s="24">
        <f>B47/(B51+B50)</f>
        <v>0.15099292398995662</v>
      </c>
      <c r="C16" s="24">
        <f t="shared" ref="C16:H16" ca="1" si="1">C47/(C51+C50)</f>
        <v>6.452021375725453E-2</v>
      </c>
      <c r="D16" s="24">
        <f t="shared" ca="1" si="1"/>
        <v>3.6581874926717305E-3</v>
      </c>
      <c r="E16" s="24">
        <f t="shared" ca="1" si="1"/>
        <v>2.5159277525719757E-2</v>
      </c>
      <c r="F16" s="24">
        <f t="shared" ca="1" si="1"/>
        <v>4.6189112207088066E-2</v>
      </c>
      <c r="G16" s="24">
        <f t="shared" ca="1" si="1"/>
        <v>6.6920744360368725E-2</v>
      </c>
      <c r="H16" s="24">
        <f t="shared" ca="1" si="1"/>
        <v>8.761296312517379E-2</v>
      </c>
    </row>
    <row r="17" spans="1:8" x14ac:dyDescent="0.25">
      <c r="A17" s="5" t="s">
        <v>25</v>
      </c>
      <c r="B17" s="23">
        <f>-B42/B28</f>
        <v>9.01673640167364</v>
      </c>
      <c r="C17" s="155">
        <f t="shared" ref="C17:H17" si="2">B17</f>
        <v>9.01673640167364</v>
      </c>
      <c r="D17" s="155">
        <f t="shared" si="2"/>
        <v>9.01673640167364</v>
      </c>
      <c r="E17" s="155">
        <f t="shared" si="2"/>
        <v>9.01673640167364</v>
      </c>
      <c r="F17" s="155">
        <f t="shared" si="2"/>
        <v>9.01673640167364</v>
      </c>
      <c r="G17" s="155">
        <f t="shared" si="2"/>
        <v>9.01673640167364</v>
      </c>
      <c r="H17" s="155">
        <f t="shared" si="2"/>
        <v>9.01673640167364</v>
      </c>
    </row>
    <row r="18" spans="1:8" x14ac:dyDescent="0.25">
      <c r="A18" s="21" t="s">
        <v>81</v>
      </c>
      <c r="B18" s="22"/>
      <c r="C18" s="154">
        <v>1E-3</v>
      </c>
      <c r="D18" s="154">
        <f>+C18</f>
        <v>1E-3</v>
      </c>
      <c r="E18" s="154">
        <f>D18</f>
        <v>1E-3</v>
      </c>
      <c r="F18" s="154">
        <f>+E18</f>
        <v>1E-3</v>
      </c>
      <c r="G18" s="154">
        <f>+F18</f>
        <v>1E-3</v>
      </c>
      <c r="H18" s="154">
        <f>+G18</f>
        <v>1E-3</v>
      </c>
    </row>
    <row r="19" spans="1:8" x14ac:dyDescent="0.25">
      <c r="A19" s="21" t="s">
        <v>82</v>
      </c>
      <c r="B19" s="22"/>
      <c r="C19" s="154">
        <v>5.0000000000000001E-4</v>
      </c>
      <c r="D19" s="154">
        <f>C19</f>
        <v>5.0000000000000001E-4</v>
      </c>
      <c r="E19" s="154">
        <f>D19</f>
        <v>5.0000000000000001E-4</v>
      </c>
      <c r="F19" s="154">
        <f>E19</f>
        <v>5.0000000000000001E-4</v>
      </c>
      <c r="G19" s="154">
        <f>F19</f>
        <v>5.0000000000000001E-4</v>
      </c>
      <c r="H19" s="154">
        <f>G19</f>
        <v>5.0000000000000001E-4</v>
      </c>
    </row>
    <row r="20" spans="1:8" x14ac:dyDescent="0.25">
      <c r="A20" s="21" t="s">
        <v>83</v>
      </c>
      <c r="B20" s="22">
        <f>B35/(B34-B30)</f>
        <v>0</v>
      </c>
      <c r="C20" s="154">
        <f>+B20</f>
        <v>0</v>
      </c>
      <c r="D20" s="154">
        <f t="shared" ref="D20:H21" si="3">+C20</f>
        <v>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</row>
    <row r="21" spans="1:8" x14ac:dyDescent="0.25">
      <c r="A21" s="21" t="s">
        <v>203</v>
      </c>
      <c r="B21" s="22">
        <f>B36/-(B37-B30)</f>
        <v>2.6408450704225352E-2</v>
      </c>
      <c r="C21" s="154">
        <f>+B21</f>
        <v>2.6408450704225352E-2</v>
      </c>
      <c r="D21" s="154">
        <f t="shared" si="3"/>
        <v>2.6408450704225352E-2</v>
      </c>
      <c r="E21" s="154">
        <f t="shared" si="3"/>
        <v>2.6408450704225352E-2</v>
      </c>
      <c r="F21" s="154">
        <f t="shared" si="3"/>
        <v>2.6408450704225352E-2</v>
      </c>
      <c r="G21" s="154">
        <f t="shared" si="3"/>
        <v>2.6408450704225352E-2</v>
      </c>
      <c r="H21" s="154">
        <f t="shared" si="3"/>
        <v>2.6408450704225352E-2</v>
      </c>
    </row>
    <row r="22" spans="1:8" x14ac:dyDescent="0.25">
      <c r="A22" s="21" t="s">
        <v>158</v>
      </c>
      <c r="B22" s="22">
        <f>B77/B76</f>
        <v>0.2702331364405427</v>
      </c>
      <c r="C22" s="22">
        <f t="shared" ref="C22:H22" ca="1" si="4">C77/C76</f>
        <v>0.27422359937955815</v>
      </c>
      <c r="D22" s="22">
        <f t="shared" ca="1" si="4"/>
        <v>0.27285646588667273</v>
      </c>
      <c r="E22" s="22">
        <f t="shared" ca="1" si="4"/>
        <v>0.26519153447503802</v>
      </c>
      <c r="F22" s="22">
        <f t="shared" ca="1" si="4"/>
        <v>0.2638542906584882</v>
      </c>
      <c r="G22" s="22">
        <f t="shared" ca="1" si="4"/>
        <v>0.26230326562844986</v>
      </c>
      <c r="H22" s="22">
        <f t="shared" ca="1" si="4"/>
        <v>0.26058656951343784</v>
      </c>
    </row>
    <row r="23" spans="1:8" x14ac:dyDescent="0.25">
      <c r="A23" s="21" t="s">
        <v>159</v>
      </c>
      <c r="B23" s="22"/>
      <c r="C23" s="156">
        <v>7.4999999999999997E-2</v>
      </c>
      <c r="D23" s="156">
        <f>C23-0.005</f>
        <v>6.9999999999999993E-2</v>
      </c>
      <c r="E23" s="156">
        <f>D23-0.005</f>
        <v>6.4999999999999988E-2</v>
      </c>
      <c r="F23" s="156">
        <f>E23</f>
        <v>6.4999999999999988E-2</v>
      </c>
      <c r="G23" s="156">
        <f>F23</f>
        <v>6.4999999999999988E-2</v>
      </c>
      <c r="H23" s="156">
        <f>G23</f>
        <v>6.4999999999999988E-2</v>
      </c>
    </row>
    <row r="24" spans="1:8" x14ac:dyDescent="0.25">
      <c r="A24" s="25"/>
    </row>
    <row r="25" spans="1:8" x14ac:dyDescent="0.25">
      <c r="A25" s="45" t="s">
        <v>9</v>
      </c>
    </row>
    <row r="26" spans="1:8" x14ac:dyDescent="0.25">
      <c r="A26" s="25" t="s">
        <v>10</v>
      </c>
      <c r="B26" s="157">
        <v>15605</v>
      </c>
      <c r="C26" s="26">
        <f t="shared" ref="C26:H26" si="5">B26*(1+C10)</f>
        <v>16385.25</v>
      </c>
      <c r="D26" s="26">
        <f t="shared" si="5"/>
        <v>17188.127249999998</v>
      </c>
      <c r="E26" s="26">
        <f t="shared" si="5"/>
        <v>18013.157357999997</v>
      </c>
      <c r="F26" s="26">
        <f t="shared" si="5"/>
        <v>18859.775753825994</v>
      </c>
      <c r="G26" s="26">
        <f t="shared" si="5"/>
        <v>19727.32543850199</v>
      </c>
      <c r="H26" s="26">
        <f t="shared" si="5"/>
        <v>20615.05508323458</v>
      </c>
    </row>
    <row r="27" spans="1:8" x14ac:dyDescent="0.25">
      <c r="A27" s="25" t="s">
        <v>11</v>
      </c>
      <c r="B27" s="35">
        <f>B29-B28</f>
        <v>2218</v>
      </c>
      <c r="C27" s="26">
        <f t="shared" ref="C27:H27" si="6">C11*C26</f>
        <v>2457.7874999999999</v>
      </c>
      <c r="D27" s="26">
        <f t="shared" si="6"/>
        <v>2578.2190874999997</v>
      </c>
      <c r="E27" s="26">
        <f t="shared" si="6"/>
        <v>2701.9736036999993</v>
      </c>
      <c r="F27" s="26">
        <f t="shared" si="6"/>
        <v>2828.9663630738992</v>
      </c>
      <c r="G27" s="26">
        <f t="shared" si="6"/>
        <v>2959.0988157752986</v>
      </c>
      <c r="H27" s="26">
        <f t="shared" si="6"/>
        <v>3092.2582624851871</v>
      </c>
    </row>
    <row r="28" spans="1:8" x14ac:dyDescent="0.25">
      <c r="A28" s="27" t="s">
        <v>96</v>
      </c>
      <c r="B28" s="158">
        <f>-478</f>
        <v>-478</v>
      </c>
      <c r="C28" s="28">
        <f t="shared" ref="C28:H28" si="7">C42/-C17</f>
        <v>-516.15589165678136</v>
      </c>
      <c r="D28" s="28">
        <f t="shared" si="7"/>
        <v>-574.0584701998323</v>
      </c>
      <c r="E28" s="28">
        <f t="shared" si="7"/>
        <v>-620.29315014220879</v>
      </c>
      <c r="F28" s="28">
        <f t="shared" si="7"/>
        <v>-670.25820151143694</v>
      </c>
      <c r="G28" s="28">
        <f t="shared" si="7"/>
        <v>-724.29998921606511</v>
      </c>
      <c r="H28" s="28">
        <f t="shared" si="7"/>
        <v>-782.80873290325167</v>
      </c>
    </row>
    <row r="29" spans="1:8" x14ac:dyDescent="0.25">
      <c r="A29" s="31" t="s">
        <v>26</v>
      </c>
      <c r="B29" s="159">
        <f>1857-B30</f>
        <v>1740</v>
      </c>
      <c r="C29" s="29">
        <f t="shared" ref="C29:H29" si="8">C27+C28</f>
        <v>1941.6316083432184</v>
      </c>
      <c r="D29" s="29">
        <f t="shared" si="8"/>
        <v>2004.1606173001674</v>
      </c>
      <c r="E29" s="29">
        <f t="shared" si="8"/>
        <v>2081.6804535577903</v>
      </c>
      <c r="F29" s="29">
        <f t="shared" si="8"/>
        <v>2158.708161562462</v>
      </c>
      <c r="G29" s="29">
        <f t="shared" si="8"/>
        <v>2234.7988265592335</v>
      </c>
      <c r="H29" s="29">
        <f t="shared" si="8"/>
        <v>2309.4495295819352</v>
      </c>
    </row>
    <row r="30" spans="1:8" x14ac:dyDescent="0.25">
      <c r="A30" s="10" t="s">
        <v>75</v>
      </c>
      <c r="B30" s="159">
        <f>209-92</f>
        <v>117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</row>
    <row r="31" spans="1:8" x14ac:dyDescent="0.25">
      <c r="A31" s="30" t="s">
        <v>12</v>
      </c>
      <c r="B31" s="158">
        <v>-155</v>
      </c>
      <c r="C31" s="28">
        <f t="shared" ref="C31:H31" ca="1" si="9">(B47+C47)/2*-C12</f>
        <v>-114.48940379186345</v>
      </c>
      <c r="D31" s="28">
        <f t="shared" ca="1" si="9"/>
        <v>-39.322818782432023</v>
      </c>
      <c r="E31" s="28">
        <f t="shared" ca="1" si="9"/>
        <v>-18.62649945591545</v>
      </c>
      <c r="F31" s="28">
        <f t="shared" ca="1" si="9"/>
        <v>-46.734791943458028</v>
      </c>
      <c r="G31" s="28">
        <f t="shared" ca="1" si="9"/>
        <v>-75.428632918737208</v>
      </c>
      <c r="H31" s="28">
        <f t="shared" ca="1" si="9"/>
        <v>-105.18229443942911</v>
      </c>
    </row>
    <row r="32" spans="1:8" x14ac:dyDescent="0.25">
      <c r="A32" s="31" t="s">
        <v>13</v>
      </c>
      <c r="B32" s="29">
        <f>B29+B30+B31</f>
        <v>1702</v>
      </c>
      <c r="C32" s="29">
        <f t="shared" ref="C32:H32" ca="1" si="10">C29+C30+C31</f>
        <v>1827.142204551355</v>
      </c>
      <c r="D32" s="29">
        <f t="shared" ca="1" si="10"/>
        <v>1964.8377985177353</v>
      </c>
      <c r="E32" s="29">
        <f t="shared" ca="1" si="10"/>
        <v>2063.0539541018748</v>
      </c>
      <c r="F32" s="29">
        <f t="shared" ca="1" si="10"/>
        <v>2111.9733696190042</v>
      </c>
      <c r="G32" s="29">
        <f t="shared" ca="1" si="10"/>
        <v>2159.3701936404964</v>
      </c>
      <c r="H32" s="29">
        <f t="shared" ca="1" si="10"/>
        <v>2204.2672351425063</v>
      </c>
    </row>
    <row r="33" spans="1:10" x14ac:dyDescent="0.25">
      <c r="A33" s="27" t="s">
        <v>14</v>
      </c>
      <c r="B33" s="158">
        <v>-419</v>
      </c>
      <c r="C33" s="28">
        <f t="shared" ref="C33:H33" ca="1" si="11">C32*-C13</f>
        <v>-463.76347377566708</v>
      </c>
      <c r="D33" s="28">
        <f t="shared" ca="1" si="11"/>
        <v>-498.71323675655793</v>
      </c>
      <c r="E33" s="28">
        <f t="shared" ca="1" si="11"/>
        <v>-523.64236672856043</v>
      </c>
      <c r="F33" s="28">
        <f t="shared" ca="1" si="11"/>
        <v>-536.05904563772606</v>
      </c>
      <c r="G33" s="28">
        <f t="shared" ca="1" si="11"/>
        <v>-548.08926184059601</v>
      </c>
      <c r="H33" s="28">
        <f t="shared" ca="1" si="11"/>
        <v>-559.48498565309205</v>
      </c>
    </row>
    <row r="34" spans="1:10" x14ac:dyDescent="0.25">
      <c r="A34" s="31" t="s">
        <v>15</v>
      </c>
      <c r="B34" s="29">
        <f>B32+B33</f>
        <v>1283</v>
      </c>
      <c r="C34" s="29">
        <f t="shared" ref="C34:H34" ca="1" si="12">C32+C33</f>
        <v>1363.3787307756879</v>
      </c>
      <c r="D34" s="29">
        <f t="shared" ca="1" si="12"/>
        <v>1466.1245617611773</v>
      </c>
      <c r="E34" s="29">
        <f t="shared" ca="1" si="12"/>
        <v>1539.4115873733144</v>
      </c>
      <c r="F34" s="29">
        <f t="shared" ca="1" si="12"/>
        <v>1575.9143239812781</v>
      </c>
      <c r="G34" s="29">
        <f t="shared" ca="1" si="12"/>
        <v>1611.2809317999004</v>
      </c>
      <c r="H34" s="29">
        <f t="shared" ca="1" si="12"/>
        <v>1644.7822494894142</v>
      </c>
    </row>
    <row r="35" spans="1:10" x14ac:dyDescent="0.25">
      <c r="A35" s="31" t="s">
        <v>74</v>
      </c>
      <c r="B35" s="159">
        <v>0</v>
      </c>
      <c r="C35" s="26">
        <f t="shared" ref="C35:H35" ca="1" si="13">(C34-C30)*C20</f>
        <v>0</v>
      </c>
      <c r="D35" s="26">
        <f t="shared" ca="1" si="13"/>
        <v>0</v>
      </c>
      <c r="E35" s="26">
        <f t="shared" ca="1" si="13"/>
        <v>0</v>
      </c>
      <c r="F35" s="26">
        <f t="shared" ca="1" si="13"/>
        <v>0</v>
      </c>
      <c r="G35" s="26">
        <f t="shared" ca="1" si="13"/>
        <v>0</v>
      </c>
      <c r="H35" s="26">
        <f t="shared" ca="1" si="13"/>
        <v>0</v>
      </c>
    </row>
    <row r="36" spans="1:10" x14ac:dyDescent="0.25">
      <c r="A36" s="32" t="s">
        <v>201</v>
      </c>
      <c r="B36" s="158">
        <v>-30</v>
      </c>
      <c r="C36" s="28">
        <f t="shared" ref="C36:H36" ca="1" si="14">(C34-C30)*-C21</f>
        <v>-36.004720002879083</v>
      </c>
      <c r="D36" s="28">
        <f t="shared" ca="1" si="14"/>
        <v>-38.718078215524052</v>
      </c>
      <c r="E36" s="28">
        <f t="shared" ca="1" si="14"/>
        <v>-40.653475018661474</v>
      </c>
      <c r="F36" s="28">
        <f t="shared" ca="1" si="14"/>
        <v>-41.617455738942205</v>
      </c>
      <c r="G36" s="28">
        <f t="shared" ca="1" si="14"/>
        <v>-42.551433058095959</v>
      </c>
      <c r="H36" s="28">
        <f t="shared" ca="1" si="14"/>
        <v>-43.436150954826076</v>
      </c>
    </row>
    <row r="37" spans="1:10" x14ac:dyDescent="0.25">
      <c r="A37" s="33" t="s">
        <v>45</v>
      </c>
      <c r="B37" s="29">
        <f>B34+B35+B36</f>
        <v>1253</v>
      </c>
      <c r="C37" s="29">
        <f t="shared" ref="C37:H37" ca="1" si="15">C34+C35+C36</f>
        <v>1327.3740107728088</v>
      </c>
      <c r="D37" s="29">
        <f t="shared" ca="1" si="15"/>
        <v>1427.4064835456534</v>
      </c>
      <c r="E37" s="29">
        <f t="shared" ca="1" si="15"/>
        <v>1498.7581123546529</v>
      </c>
      <c r="F37" s="29">
        <f t="shared" ca="1" si="15"/>
        <v>1534.2968682423359</v>
      </c>
      <c r="G37" s="29">
        <f t="shared" ca="1" si="15"/>
        <v>1568.7294987418045</v>
      </c>
      <c r="H37" s="29">
        <f t="shared" ca="1" si="15"/>
        <v>1601.3460985345882</v>
      </c>
    </row>
    <row r="38" spans="1:10" x14ac:dyDescent="0.25">
      <c r="A38" s="25"/>
    </row>
    <row r="39" spans="1:10" x14ac:dyDescent="0.25">
      <c r="A39" s="45" t="s">
        <v>27</v>
      </c>
    </row>
    <row r="40" spans="1:10" x14ac:dyDescent="0.25">
      <c r="A40" s="5" t="s">
        <v>76</v>
      </c>
      <c r="B40" s="157">
        <f>246+1+103</f>
        <v>350</v>
      </c>
      <c r="C40" s="26">
        <f t="shared" ref="C40:H40" ca="1" si="16">B40+C35</f>
        <v>350</v>
      </c>
      <c r="D40" s="26">
        <f t="shared" ca="1" si="16"/>
        <v>350</v>
      </c>
      <c r="E40" s="26">
        <f t="shared" ca="1" si="16"/>
        <v>350</v>
      </c>
      <c r="F40" s="26">
        <f t="shared" ca="1" si="16"/>
        <v>350</v>
      </c>
      <c r="G40" s="26">
        <f t="shared" ca="1" si="16"/>
        <v>350</v>
      </c>
      <c r="H40" s="26">
        <f t="shared" ca="1" si="16"/>
        <v>350</v>
      </c>
    </row>
    <row r="41" spans="1:10" x14ac:dyDescent="0.25">
      <c r="A41" s="5" t="s">
        <v>77</v>
      </c>
      <c r="B41" s="157">
        <v>6723</v>
      </c>
      <c r="C41" s="26">
        <f t="shared" ref="C41:H41" si="17">B41</f>
        <v>6723</v>
      </c>
      <c r="D41" s="26">
        <f t="shared" si="17"/>
        <v>6723</v>
      </c>
      <c r="E41" s="26">
        <f t="shared" si="17"/>
        <v>6723</v>
      </c>
      <c r="F41" s="26">
        <f t="shared" si="17"/>
        <v>6723</v>
      </c>
      <c r="G41" s="26">
        <f t="shared" si="17"/>
        <v>6723</v>
      </c>
      <c r="H41" s="26">
        <f t="shared" si="17"/>
        <v>6723</v>
      </c>
    </row>
    <row r="42" spans="1:10" x14ac:dyDescent="0.25">
      <c r="A42" s="5" t="s">
        <v>93</v>
      </c>
      <c r="B42" s="157">
        <f>8769-B41+2264</f>
        <v>4310</v>
      </c>
      <c r="C42" s="26">
        <f t="shared" ref="C42:H42" si="18">C26/C14</f>
        <v>4654.0416172400155</v>
      </c>
      <c r="D42" s="26">
        <f t="shared" si="18"/>
        <v>5176.1339049399103</v>
      </c>
      <c r="E42" s="26">
        <f t="shared" si="18"/>
        <v>5593.0198265960662</v>
      </c>
      <c r="F42" s="26">
        <f t="shared" si="18"/>
        <v>6043.5415240884795</v>
      </c>
      <c r="G42" s="26">
        <f t="shared" si="18"/>
        <v>6530.8220784963196</v>
      </c>
      <c r="H42" s="26">
        <f t="shared" si="18"/>
        <v>7058.3799975167667</v>
      </c>
    </row>
    <row r="43" spans="1:10" x14ac:dyDescent="0.25">
      <c r="A43" s="5" t="s">
        <v>51</v>
      </c>
      <c r="B43" s="26">
        <f t="shared" ref="B43:H43" si="19">B40+B41+B42</f>
        <v>11383</v>
      </c>
      <c r="C43" s="26">
        <f t="shared" ca="1" si="19"/>
        <v>11727.041617240015</v>
      </c>
      <c r="D43" s="26">
        <f t="shared" ca="1" si="19"/>
        <v>12249.13390493991</v>
      </c>
      <c r="E43" s="26">
        <f t="shared" ca="1" si="19"/>
        <v>12666.019826596066</v>
      </c>
      <c r="F43" s="26">
        <f t="shared" ca="1" si="19"/>
        <v>13116.541524088479</v>
      </c>
      <c r="G43" s="26">
        <f t="shared" ca="1" si="19"/>
        <v>13603.82207849632</v>
      </c>
      <c r="H43" s="26">
        <f t="shared" ca="1" si="19"/>
        <v>14131.379997516768</v>
      </c>
    </row>
    <row r="44" spans="1:10" x14ac:dyDescent="0.25">
      <c r="A44" s="27" t="s">
        <v>16</v>
      </c>
      <c r="B44" s="158">
        <f>1550+2001+164+237+51-309-833-2411-207-17</f>
        <v>226</v>
      </c>
      <c r="C44" s="28">
        <f t="shared" ref="C44:H44" si="20">C26/C15</f>
        <v>237.3</v>
      </c>
      <c r="D44" s="28">
        <f t="shared" si="20"/>
        <v>248.92769999999999</v>
      </c>
      <c r="E44" s="28">
        <f t="shared" si="20"/>
        <v>260.87622959999999</v>
      </c>
      <c r="F44" s="28">
        <f t="shared" si="20"/>
        <v>273.13741239119992</v>
      </c>
      <c r="G44" s="28">
        <f t="shared" si="20"/>
        <v>285.70173336119512</v>
      </c>
      <c r="H44" s="28">
        <f t="shared" si="20"/>
        <v>298.55831136244893</v>
      </c>
    </row>
    <row r="45" spans="1:10" x14ac:dyDescent="0.25">
      <c r="A45" s="25" t="s">
        <v>17</v>
      </c>
      <c r="B45" s="26">
        <f>B43+B44</f>
        <v>11609</v>
      </c>
      <c r="C45" s="26">
        <f t="shared" ref="C45:H45" ca="1" si="21">C43+C44</f>
        <v>11964.341617240014</v>
      </c>
      <c r="D45" s="26">
        <f t="shared" ca="1" si="21"/>
        <v>12498.06160493991</v>
      </c>
      <c r="E45" s="26">
        <f t="shared" ca="1" si="21"/>
        <v>12926.896056196067</v>
      </c>
      <c r="F45" s="26">
        <f t="shared" ca="1" si="21"/>
        <v>13389.678936479679</v>
      </c>
      <c r="G45" s="26">
        <f t="shared" ca="1" si="21"/>
        <v>13889.523811857514</v>
      </c>
      <c r="H45" s="26">
        <f t="shared" ca="1" si="21"/>
        <v>14429.938308879216</v>
      </c>
      <c r="I45" s="26"/>
      <c r="J45" s="26"/>
    </row>
    <row r="46" spans="1:10" x14ac:dyDescent="0.25">
      <c r="A46" s="25"/>
      <c r="B46" s="34"/>
      <c r="C46" s="26"/>
      <c r="D46" s="26"/>
      <c r="E46" s="26"/>
      <c r="F46" s="26"/>
      <c r="G46" s="26"/>
      <c r="H46" s="26"/>
    </row>
    <row r="47" spans="1:10" x14ac:dyDescent="0.25">
      <c r="A47" s="25" t="s">
        <v>18</v>
      </c>
      <c r="B47" s="157">
        <f>412+84+3501+54-1980-748</f>
        <v>1323</v>
      </c>
      <c r="C47" s="26">
        <f t="shared" ref="C47:H47" ca="1" si="22">B47-C67</f>
        <v>631.44491892432711</v>
      </c>
      <c r="D47" s="26">
        <f t="shared" ca="1" si="22"/>
        <v>39.833652032544705</v>
      </c>
      <c r="E47" s="26">
        <f t="shared" ca="1" si="22"/>
        <v>278.13871932456681</v>
      </c>
      <c r="F47" s="26">
        <f t="shared" ca="1" si="22"/>
        <v>519.66940636827144</v>
      </c>
      <c r="G47" s="26">
        <f t="shared" ca="1" si="22"/>
        <v>767.97035300578432</v>
      </c>
      <c r="H47" s="26">
        <f t="shared" ca="1" si="22"/>
        <v>1027.5932023924702</v>
      </c>
    </row>
    <row r="48" spans="1:10" x14ac:dyDescent="0.25">
      <c r="A48" s="5" t="s">
        <v>78</v>
      </c>
      <c r="B48" s="157">
        <f>998</f>
        <v>998</v>
      </c>
      <c r="C48" s="26">
        <f t="shared" ref="C48:H49" si="23">B48+C59</f>
        <v>1011.9274625</v>
      </c>
      <c r="D48" s="26">
        <f t="shared" si="23"/>
        <v>1026.5373706625001</v>
      </c>
      <c r="E48" s="26">
        <f t="shared" si="23"/>
        <v>1041.8485544168</v>
      </c>
      <c r="F48" s="26">
        <f t="shared" si="23"/>
        <v>1057.879363807552</v>
      </c>
      <c r="G48" s="26">
        <f t="shared" si="23"/>
        <v>1074.6475904302786</v>
      </c>
      <c r="H48" s="26">
        <f t="shared" si="23"/>
        <v>1092.1703872510279</v>
      </c>
    </row>
    <row r="49" spans="1:8" x14ac:dyDescent="0.25">
      <c r="A49" s="5" t="s">
        <v>88</v>
      </c>
      <c r="B49" s="157">
        <f>481+23+394+93-465</f>
        <v>526</v>
      </c>
      <c r="C49" s="26">
        <f t="shared" si="23"/>
        <v>534.19262500000002</v>
      </c>
      <c r="D49" s="26">
        <f t="shared" si="23"/>
        <v>542.78668862500001</v>
      </c>
      <c r="E49" s="26">
        <f t="shared" si="23"/>
        <v>551.79326730399998</v>
      </c>
      <c r="F49" s="26">
        <f t="shared" si="23"/>
        <v>561.22315518091295</v>
      </c>
      <c r="G49" s="26">
        <f t="shared" si="23"/>
        <v>571.08681790016396</v>
      </c>
      <c r="H49" s="26">
        <f t="shared" si="23"/>
        <v>581.3943454417813</v>
      </c>
    </row>
    <row r="50" spans="1:8" x14ac:dyDescent="0.25">
      <c r="A50" s="25" t="s">
        <v>202</v>
      </c>
      <c r="B50" s="157">
        <v>121</v>
      </c>
      <c r="C50" s="26">
        <f t="shared" ref="C50:H50" ca="1" si="24">B50-C36</f>
        <v>157.00472000287908</v>
      </c>
      <c r="D50" s="26">
        <f t="shared" ca="1" si="24"/>
        <v>195.72279821840314</v>
      </c>
      <c r="E50" s="26">
        <f t="shared" ca="1" si="24"/>
        <v>236.37627323706462</v>
      </c>
      <c r="F50" s="26">
        <f t="shared" ca="1" si="24"/>
        <v>277.99372897600682</v>
      </c>
      <c r="G50" s="26">
        <f t="shared" ca="1" si="24"/>
        <v>320.54516203410276</v>
      </c>
      <c r="H50" s="26">
        <f t="shared" ca="1" si="24"/>
        <v>363.98131298892883</v>
      </c>
    </row>
    <row r="51" spans="1:8" x14ac:dyDescent="0.25">
      <c r="A51" s="27" t="s">
        <v>19</v>
      </c>
      <c r="B51" s="158">
        <v>8641</v>
      </c>
      <c r="C51" s="28">
        <f t="shared" ref="C51:H51" ca="1" si="25">C52-C47-C48-C49-C50</f>
        <v>9629.7718908128081</v>
      </c>
      <c r="D51" s="28">
        <f t="shared" ca="1" si="25"/>
        <v>10693.181095401464</v>
      </c>
      <c r="E51" s="28">
        <f t="shared" ca="1" si="25"/>
        <v>10818.739241913636</v>
      </c>
      <c r="F51" s="28">
        <f t="shared" ca="1" si="25"/>
        <v>10972.913282146936</v>
      </c>
      <c r="G51" s="28">
        <f t="shared" ca="1" si="25"/>
        <v>11155.273888487183</v>
      </c>
      <c r="H51" s="28">
        <f t="shared" ca="1" si="25"/>
        <v>11364.799060805008</v>
      </c>
    </row>
    <row r="52" spans="1:8" x14ac:dyDescent="0.25">
      <c r="A52" s="25" t="s">
        <v>17</v>
      </c>
      <c r="B52" s="35">
        <f>B47+B48+B49+B50+B51</f>
        <v>11609</v>
      </c>
      <c r="C52" s="26">
        <f t="shared" ref="C52:H52" ca="1" si="26">C45</f>
        <v>11964.341617240014</v>
      </c>
      <c r="D52" s="26">
        <f t="shared" ca="1" si="26"/>
        <v>12498.06160493991</v>
      </c>
      <c r="E52" s="26">
        <f t="shared" ca="1" si="26"/>
        <v>12926.896056196067</v>
      </c>
      <c r="F52" s="26">
        <f t="shared" ca="1" si="26"/>
        <v>13389.678936479679</v>
      </c>
      <c r="G52" s="26">
        <f t="shared" ca="1" si="26"/>
        <v>13889.523811857514</v>
      </c>
      <c r="H52" s="26">
        <f t="shared" ca="1" si="26"/>
        <v>14429.938308879216</v>
      </c>
    </row>
    <row r="53" spans="1:8" x14ac:dyDescent="0.25">
      <c r="A53" s="46" t="s">
        <v>46</v>
      </c>
      <c r="B53" s="37">
        <f>B45-B52</f>
        <v>0</v>
      </c>
      <c r="C53" s="37">
        <f t="shared" ref="C53:H53" ca="1" si="27">C47-B47+C67</f>
        <v>0</v>
      </c>
      <c r="D53" s="37">
        <f t="shared" ca="1" si="27"/>
        <v>0</v>
      </c>
      <c r="E53" s="37">
        <f t="shared" ca="1" si="27"/>
        <v>0</v>
      </c>
      <c r="F53" s="37">
        <f t="shared" ca="1" si="27"/>
        <v>0</v>
      </c>
      <c r="G53" s="37">
        <f t="shared" ca="1" si="27"/>
        <v>0</v>
      </c>
      <c r="H53" s="37">
        <f t="shared" ca="1" si="27"/>
        <v>0</v>
      </c>
    </row>
    <row r="54" spans="1:8" x14ac:dyDescent="0.25">
      <c r="A54" s="25"/>
      <c r="B54" s="26"/>
      <c r="C54" s="26"/>
      <c r="D54" s="26"/>
      <c r="E54" s="26"/>
      <c r="F54" s="26"/>
      <c r="G54" s="26"/>
      <c r="H54" s="26"/>
    </row>
    <row r="55" spans="1:8" x14ac:dyDescent="0.25">
      <c r="A55" s="45" t="s">
        <v>20</v>
      </c>
      <c r="B55" s="26"/>
      <c r="C55" s="26"/>
      <c r="D55" s="26"/>
      <c r="E55" s="26"/>
      <c r="F55" s="26"/>
      <c r="G55" s="26"/>
      <c r="H55" s="26"/>
    </row>
    <row r="56" spans="1:8" x14ac:dyDescent="0.25">
      <c r="A56" s="5" t="s">
        <v>45</v>
      </c>
      <c r="B56" s="26"/>
      <c r="C56" s="26">
        <f t="shared" ref="C56:H56" ca="1" si="28">C37</f>
        <v>1327.3740107728088</v>
      </c>
      <c r="D56" s="26">
        <f t="shared" ca="1" si="28"/>
        <v>1427.4064835456534</v>
      </c>
      <c r="E56" s="26">
        <f t="shared" ca="1" si="28"/>
        <v>1498.7581123546529</v>
      </c>
      <c r="F56" s="26">
        <f t="shared" ca="1" si="28"/>
        <v>1534.2968682423359</v>
      </c>
      <c r="G56" s="26">
        <f t="shared" ca="1" si="28"/>
        <v>1568.7294987418045</v>
      </c>
      <c r="H56" s="26">
        <f t="shared" ca="1" si="28"/>
        <v>1601.3460985345882</v>
      </c>
    </row>
    <row r="57" spans="1:8" x14ac:dyDescent="0.25">
      <c r="A57" s="5" t="s">
        <v>44</v>
      </c>
      <c r="B57" s="26"/>
      <c r="C57" s="26">
        <f t="shared" ref="C57:H57" ca="1" si="29">-C36</f>
        <v>36.004720002879083</v>
      </c>
      <c r="D57" s="26">
        <f t="shared" ca="1" si="29"/>
        <v>38.718078215524052</v>
      </c>
      <c r="E57" s="26">
        <f t="shared" ca="1" si="29"/>
        <v>40.653475018661474</v>
      </c>
      <c r="F57" s="26">
        <f t="shared" ca="1" si="29"/>
        <v>41.617455738942205</v>
      </c>
      <c r="G57" s="26">
        <f t="shared" ca="1" si="29"/>
        <v>42.551433058095959</v>
      </c>
      <c r="H57" s="26">
        <f t="shared" ca="1" si="29"/>
        <v>43.436150954826076</v>
      </c>
    </row>
    <row r="58" spans="1:8" x14ac:dyDescent="0.25">
      <c r="A58" s="5" t="s">
        <v>160</v>
      </c>
      <c r="B58" s="35"/>
      <c r="C58" s="35">
        <f t="shared" ref="C58:H58" ca="1" si="30">-C35</f>
        <v>0</v>
      </c>
      <c r="D58" s="35">
        <f t="shared" ca="1" si="30"/>
        <v>0</v>
      </c>
      <c r="E58" s="35">
        <f t="shared" ca="1" si="30"/>
        <v>0</v>
      </c>
      <c r="F58" s="35">
        <f t="shared" ca="1" si="30"/>
        <v>0</v>
      </c>
      <c r="G58" s="35">
        <f t="shared" ca="1" si="30"/>
        <v>0</v>
      </c>
      <c r="H58" s="35">
        <f t="shared" ca="1" si="30"/>
        <v>0</v>
      </c>
    </row>
    <row r="59" spans="1:8" x14ac:dyDescent="0.25">
      <c r="A59" s="5" t="s">
        <v>79</v>
      </c>
      <c r="B59" s="38"/>
      <c r="C59" s="26">
        <f t="shared" ref="C59:H59" si="31">C18*-(C27-C26)</f>
        <v>13.927462500000001</v>
      </c>
      <c r="D59" s="26">
        <f t="shared" si="31"/>
        <v>14.609908162499998</v>
      </c>
      <c r="E59" s="26">
        <f t="shared" si="31"/>
        <v>15.311183754299996</v>
      </c>
      <c r="F59" s="26">
        <f t="shared" si="31"/>
        <v>16.030809390752093</v>
      </c>
      <c r="G59" s="26">
        <f t="shared" si="31"/>
        <v>16.768226622726694</v>
      </c>
      <c r="H59" s="26">
        <f t="shared" si="31"/>
        <v>17.522796820749395</v>
      </c>
    </row>
    <row r="60" spans="1:8" x14ac:dyDescent="0.25">
      <c r="A60" s="5" t="s">
        <v>80</v>
      </c>
      <c r="B60" s="38"/>
      <c r="C60" s="26">
        <f t="shared" ref="C60:H60" si="32">C19*C26</f>
        <v>8.1926249999999996</v>
      </c>
      <c r="D60" s="26">
        <f t="shared" si="32"/>
        <v>8.5940636249999987</v>
      </c>
      <c r="E60" s="26">
        <f t="shared" si="32"/>
        <v>9.0065786789999986</v>
      </c>
      <c r="F60" s="26">
        <f t="shared" si="32"/>
        <v>9.4298878769129963</v>
      </c>
      <c r="G60" s="26">
        <f t="shared" si="32"/>
        <v>9.8636627192509945</v>
      </c>
      <c r="H60" s="26">
        <f t="shared" si="32"/>
        <v>10.30752754161729</v>
      </c>
    </row>
    <row r="61" spans="1:8" x14ac:dyDescent="0.25">
      <c r="A61" s="5" t="s">
        <v>21</v>
      </c>
      <c r="B61" s="26"/>
      <c r="C61" s="26">
        <f t="shared" ref="C61:H61" si="33">-C28</f>
        <v>516.15589165678136</v>
      </c>
      <c r="D61" s="26">
        <f t="shared" si="33"/>
        <v>574.0584701998323</v>
      </c>
      <c r="E61" s="26">
        <f t="shared" si="33"/>
        <v>620.29315014220879</v>
      </c>
      <c r="F61" s="26">
        <f t="shared" si="33"/>
        <v>670.25820151143694</v>
      </c>
      <c r="G61" s="26">
        <f t="shared" si="33"/>
        <v>724.29998921606511</v>
      </c>
      <c r="H61" s="26">
        <f t="shared" si="33"/>
        <v>782.80873290325167</v>
      </c>
    </row>
    <row r="62" spans="1:8" x14ac:dyDescent="0.25">
      <c r="A62" s="30" t="s">
        <v>24</v>
      </c>
      <c r="B62" s="39"/>
      <c r="C62" s="28">
        <f t="shared" ref="C62:H62" si="34">-(C44-B44)</f>
        <v>-11.300000000000011</v>
      </c>
      <c r="D62" s="28">
        <f t="shared" si="34"/>
        <v>-11.627699999999976</v>
      </c>
      <c r="E62" s="28">
        <f t="shared" si="34"/>
        <v>-11.948529600000001</v>
      </c>
      <c r="F62" s="28">
        <f t="shared" si="34"/>
        <v>-12.261182791199928</v>
      </c>
      <c r="G62" s="28">
        <f t="shared" si="34"/>
        <v>-12.564320969995208</v>
      </c>
      <c r="H62" s="28">
        <f t="shared" si="34"/>
        <v>-12.856578001253808</v>
      </c>
    </row>
    <row r="63" spans="1:8" x14ac:dyDescent="0.25">
      <c r="A63" s="25" t="s">
        <v>22</v>
      </c>
      <c r="B63" s="40"/>
      <c r="C63" s="40">
        <f t="shared" ref="C63:H63" ca="1" si="35">C56+C57+C58+C59+C60+C61+C62</f>
        <v>1890.3547099324694</v>
      </c>
      <c r="D63" s="40">
        <f t="shared" ca="1" si="35"/>
        <v>2051.7593037485094</v>
      </c>
      <c r="E63" s="40">
        <f t="shared" ca="1" si="35"/>
        <v>2172.0739703488234</v>
      </c>
      <c r="F63" s="40">
        <f t="shared" ca="1" si="35"/>
        <v>2259.3720399691797</v>
      </c>
      <c r="G63" s="40">
        <f t="shared" ca="1" si="35"/>
        <v>2349.6484893879478</v>
      </c>
      <c r="H63" s="40">
        <f t="shared" ca="1" si="35"/>
        <v>2442.564728753779</v>
      </c>
    </row>
    <row r="64" spans="1:8" x14ac:dyDescent="0.25">
      <c r="A64" s="25" t="s">
        <v>23</v>
      </c>
      <c r="B64" s="38"/>
      <c r="C64" s="26">
        <f t="shared" ref="C64:H64" si="36">-(-C28+C42-B42)</f>
        <v>-860.19750889679653</v>
      </c>
      <c r="D64" s="26">
        <f t="shared" si="36"/>
        <v>-1096.1507578997271</v>
      </c>
      <c r="E64" s="26">
        <f t="shared" si="36"/>
        <v>-1037.1790717983649</v>
      </c>
      <c r="F64" s="26">
        <f t="shared" si="36"/>
        <v>-1120.77989900385</v>
      </c>
      <c r="G64" s="26">
        <f t="shared" si="36"/>
        <v>-1211.5805436239052</v>
      </c>
      <c r="H64" s="26">
        <f t="shared" si="36"/>
        <v>-1310.3666519236986</v>
      </c>
    </row>
    <row r="65" spans="1:8" x14ac:dyDescent="0.25">
      <c r="A65" s="5" t="s">
        <v>166</v>
      </c>
      <c r="B65" s="35"/>
      <c r="C65" s="157">
        <v>0</v>
      </c>
      <c r="D65" s="157">
        <f>C65</f>
        <v>0</v>
      </c>
      <c r="E65" s="157">
        <v>-1000</v>
      </c>
      <c r="F65" s="157">
        <f>E65</f>
        <v>-1000</v>
      </c>
      <c r="G65" s="157">
        <f>F65</f>
        <v>-1000</v>
      </c>
      <c r="H65" s="157">
        <f>G65</f>
        <v>-1000</v>
      </c>
    </row>
    <row r="66" spans="1:8" x14ac:dyDescent="0.25">
      <c r="A66" s="30" t="s">
        <v>85</v>
      </c>
      <c r="B66" s="39"/>
      <c r="C66" s="28">
        <f t="shared" ref="C66:H66" si="37">B77*-C75</f>
        <v>-338.60211995999998</v>
      </c>
      <c r="D66" s="28">
        <f t="shared" si="37"/>
        <v>-363.99727895699999</v>
      </c>
      <c r="E66" s="28">
        <f t="shared" si="37"/>
        <v>-373.19996584248059</v>
      </c>
      <c r="F66" s="28">
        <f t="shared" si="37"/>
        <v>-380.12282800903427</v>
      </c>
      <c r="G66" s="28">
        <f t="shared" si="37"/>
        <v>-386.36889240155546</v>
      </c>
      <c r="H66" s="28">
        <f t="shared" si="37"/>
        <v>-391.82092621676622</v>
      </c>
    </row>
    <row r="67" spans="1:8" x14ac:dyDescent="0.25">
      <c r="A67" s="25" t="s">
        <v>28</v>
      </c>
      <c r="B67" s="26"/>
      <c r="C67" s="26">
        <f t="shared" ref="C67:H67" ca="1" si="38">C63+C64+C65+C66</f>
        <v>691.55508107567289</v>
      </c>
      <c r="D67" s="26">
        <f t="shared" ca="1" si="38"/>
        <v>591.61126689178241</v>
      </c>
      <c r="E67" s="26">
        <f t="shared" ca="1" si="38"/>
        <v>-238.3050672920221</v>
      </c>
      <c r="F67" s="26">
        <f t="shared" ca="1" si="38"/>
        <v>-241.53068704370457</v>
      </c>
      <c r="G67" s="26">
        <f t="shared" ca="1" si="38"/>
        <v>-248.30094663751282</v>
      </c>
      <c r="H67" s="26">
        <f t="shared" ca="1" si="38"/>
        <v>-259.62284938668574</v>
      </c>
    </row>
    <row r="68" spans="1:8" x14ac:dyDescent="0.25">
      <c r="A68" s="25"/>
    </row>
    <row r="69" spans="1:8" x14ac:dyDescent="0.25">
      <c r="A69" s="45" t="s">
        <v>30</v>
      </c>
    </row>
    <row r="70" spans="1:8" x14ac:dyDescent="0.25">
      <c r="A70" s="47" t="s">
        <v>31</v>
      </c>
      <c r="B70" s="22">
        <f t="shared" ref="B70:H70" si="39">B29*(1-B13)/B26</f>
        <v>8.202660920173406E-2</v>
      </c>
      <c r="C70" s="22">
        <f t="shared" si="39"/>
        <v>8.8421509858922817E-2</v>
      </c>
      <c r="D70" s="22">
        <f t="shared" si="39"/>
        <v>8.7005784796632249E-2</v>
      </c>
      <c r="E70" s="22">
        <f t="shared" si="39"/>
        <v>8.6231985643286019E-2</v>
      </c>
      <c r="F70" s="22">
        <f t="shared" si="39"/>
        <v>8.5408594306283003E-2</v>
      </c>
      <c r="G70" s="22">
        <f t="shared" si="39"/>
        <v>8.4530685469280234E-2</v>
      </c>
      <c r="H70" s="22">
        <f t="shared" si="39"/>
        <v>8.3592659265142366E-2</v>
      </c>
    </row>
    <row r="71" spans="1:8" x14ac:dyDescent="0.25">
      <c r="A71" s="25" t="s">
        <v>168</v>
      </c>
      <c r="B71" s="23"/>
      <c r="C71" s="23">
        <f t="shared" ref="C71:H71" si="40">C26/(B45-B40)</f>
        <v>1.4553024247268851</v>
      </c>
      <c r="D71" s="23">
        <f t="shared" ca="1" si="40"/>
        <v>1.4799054321328389</v>
      </c>
      <c r="E71" s="23">
        <f t="shared" ca="1" si="40"/>
        <v>1.482800955724088</v>
      </c>
      <c r="F71" s="23">
        <f t="shared" ca="1" si="40"/>
        <v>1.4995572571767131</v>
      </c>
      <c r="G71" s="23">
        <f t="shared" ca="1" si="40"/>
        <v>1.5128689544121379</v>
      </c>
      <c r="H71" s="23">
        <f t="shared" ca="1" si="40"/>
        <v>1.5225834652456924</v>
      </c>
    </row>
    <row r="72" spans="1:8" x14ac:dyDescent="0.25">
      <c r="A72" s="47" t="s">
        <v>29</v>
      </c>
      <c r="B72" s="22"/>
      <c r="C72" s="22">
        <f t="shared" ref="C72:H72" si="41">C70*C71</f>
        <v>0.12868003769570255</v>
      </c>
      <c r="D72" s="22">
        <f t="shared" ca="1" si="41"/>
        <v>0.12876033354751684</v>
      </c>
      <c r="E72" s="22">
        <f t="shared" ca="1" si="41"/>
        <v>0.12786487072585034</v>
      </c>
      <c r="F72" s="22">
        <f t="shared" ca="1" si="41"/>
        <v>0.12807507741724838</v>
      </c>
      <c r="G72" s="22">
        <f t="shared" ca="1" si="41"/>
        <v>0.12788384974165129</v>
      </c>
      <c r="H72" s="22">
        <f t="shared" ca="1" si="41"/>
        <v>0.12727680081302289</v>
      </c>
    </row>
    <row r="73" spans="1:8" x14ac:dyDescent="0.25">
      <c r="A73" s="25"/>
    </row>
    <row r="74" spans="1:8" x14ac:dyDescent="0.25">
      <c r="A74" s="45" t="s">
        <v>32</v>
      </c>
    </row>
    <row r="75" spans="1:8" x14ac:dyDescent="0.25">
      <c r="A75" s="25" t="s">
        <v>33</v>
      </c>
      <c r="B75" s="160">
        <f>259.795875+174.309407</f>
        <v>434.10528199999999</v>
      </c>
      <c r="C75" s="120">
        <f t="shared" ref="C75:H75" si="42">B75+C65/$B$79</f>
        <v>434.10528199999999</v>
      </c>
      <c r="D75" s="120">
        <f t="shared" si="42"/>
        <v>434.10528199999999</v>
      </c>
      <c r="E75" s="120">
        <f t="shared" si="42"/>
        <v>415.9630468766328</v>
      </c>
      <c r="F75" s="120">
        <f t="shared" si="42"/>
        <v>397.82081175326562</v>
      </c>
      <c r="G75" s="120">
        <f t="shared" si="42"/>
        <v>379.67857662989843</v>
      </c>
      <c r="H75" s="120">
        <f t="shared" si="42"/>
        <v>361.53634150653124</v>
      </c>
    </row>
    <row r="76" spans="1:8" x14ac:dyDescent="0.25">
      <c r="A76" s="5" t="s">
        <v>97</v>
      </c>
      <c r="B76" s="41">
        <f t="shared" ref="B76:H76" si="43">B37/B75</f>
        <v>2.8863965769483544</v>
      </c>
      <c r="C76" s="41">
        <f t="shared" ca="1" si="43"/>
        <v>3.0577237039304417</v>
      </c>
      <c r="D76" s="41">
        <f t="shared" ca="1" si="43"/>
        <v>3.2881573727215172</v>
      </c>
      <c r="E76" s="41">
        <f t="shared" ca="1" si="43"/>
        <v>3.6031039862999124</v>
      </c>
      <c r="F76" s="41">
        <f t="shared" ca="1" si="43"/>
        <v>3.8567536511738094</v>
      </c>
      <c r="G76" s="41">
        <f t="shared" ca="1" si="43"/>
        <v>4.1317303511463708</v>
      </c>
      <c r="H76" s="41">
        <f t="shared" ca="1" si="43"/>
        <v>4.4292811391013638</v>
      </c>
    </row>
    <row r="77" spans="1:8" x14ac:dyDescent="0.25">
      <c r="A77" s="25" t="s">
        <v>34</v>
      </c>
      <c r="B77" s="161">
        <f>0.78</f>
        <v>0.78</v>
      </c>
      <c r="C77" s="41">
        <f t="shared" ref="C77:H77" si="44">B77*(1+C23)</f>
        <v>0.83850000000000002</v>
      </c>
      <c r="D77" s="41">
        <f t="shared" si="44"/>
        <v>0.89719500000000008</v>
      </c>
      <c r="E77" s="41">
        <f t="shared" si="44"/>
        <v>0.95551267500000003</v>
      </c>
      <c r="F77" s="41">
        <f t="shared" si="44"/>
        <v>1.017620998875</v>
      </c>
      <c r="G77" s="41">
        <f t="shared" si="44"/>
        <v>1.0837663638018749</v>
      </c>
      <c r="H77" s="41">
        <f t="shared" si="44"/>
        <v>1.1542111774489967</v>
      </c>
    </row>
    <row r="79" spans="1:8" x14ac:dyDescent="0.25">
      <c r="A79" s="5" t="str">
        <f>CONCATENATE("Share price in ",Start!K15)</f>
        <v>Share price in Euro</v>
      </c>
      <c r="B79" s="162">
        <v>55.12</v>
      </c>
    </row>
    <row r="80" spans="1:8" x14ac:dyDescent="0.25">
      <c r="B80" s="42"/>
    </row>
    <row r="82" spans="1:1" x14ac:dyDescent="0.25">
      <c r="A82" s="48"/>
    </row>
  </sheetData>
  <phoneticPr fontId="0" type="noConversion"/>
  <pageMargins left="0.39370078740157483" right="0.39370078740157483" top="0.39370078740157483" bottom="0.39370078740157483" header="0.19685039370078741" footer="0.19685039370078741"/>
  <pageSetup paperSize="9" orientation="landscape" horizontalDpi="4294967292" r:id="rId1"/>
  <headerFooter alignWithMargins="0">
    <oddHeader>&amp;L&amp;"Times New Roman,Regular"&amp;8&amp;F, &amp;A&amp;R&amp;"Times New Roman,Regular"&amp;8&amp;D, &amp;T</oddHeader>
    <oddFooter>&amp;L&amp;"Times New Roman,Regular"&amp;8© BG Training 2003</oddFooter>
  </headerFooter>
  <rowBreaks count="2" manualBreakCount="2">
    <brk id="37" max="7" man="1"/>
    <brk id="6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zoomScaleSheetLayoutView="100" workbookViewId="0"/>
  </sheetViews>
  <sheetFormatPr defaultRowHeight="15" x14ac:dyDescent="0.25"/>
  <cols>
    <col min="1" max="1" width="30" style="5" customWidth="1"/>
    <col min="2" max="2" width="12.5703125" style="5" bestFit="1" customWidth="1"/>
    <col min="3" max="16384" width="9.140625" style="5"/>
  </cols>
  <sheetData>
    <row r="1" spans="1:8" ht="9.9499999999999993" customHeight="1" x14ac:dyDescent="0.25">
      <c r="A1" s="16"/>
      <c r="B1" s="16"/>
      <c r="C1" s="16"/>
      <c r="D1" s="16"/>
      <c r="E1" s="16"/>
      <c r="F1" s="16"/>
      <c r="G1" s="16"/>
      <c r="H1" s="16"/>
    </row>
    <row r="2" spans="1:8" x14ac:dyDescent="0.25">
      <c r="A2" s="17" t="str">
        <f>CONCATENATE(Start!K11," - ",Start!K12)</f>
        <v>ABC - DEF</v>
      </c>
      <c r="B2" s="17"/>
      <c r="C2" s="17"/>
      <c r="D2" s="17"/>
      <c r="E2" s="17"/>
      <c r="F2" s="17"/>
      <c r="G2" s="17"/>
      <c r="H2" s="17"/>
    </row>
    <row r="3" spans="1:8" x14ac:dyDescent="0.25">
      <c r="A3" s="18" t="str">
        <f>CONCATENATE("(",Start!K15," Millions, except per share amounts)")</f>
        <v>(Euro Millions, except per share amounts)</v>
      </c>
      <c r="B3" s="17"/>
      <c r="C3" s="17"/>
      <c r="D3" s="17"/>
      <c r="E3" s="17"/>
      <c r="F3" s="17"/>
      <c r="G3" s="17"/>
      <c r="H3" s="18"/>
    </row>
    <row r="4" spans="1:8" x14ac:dyDescent="0.25">
      <c r="A4" s="16" t="str">
        <f>CONCATENATE(Start!H13," ",Start!K13)</f>
        <v xml:space="preserve">Fiscal Year End December </v>
      </c>
      <c r="B4" s="17"/>
      <c r="C4" s="17"/>
      <c r="D4" s="17"/>
      <c r="E4" s="17"/>
      <c r="F4" s="17"/>
      <c r="G4" s="17"/>
      <c r="H4" s="16"/>
    </row>
    <row r="5" spans="1:8" ht="9.9499999999999993" customHeight="1" x14ac:dyDescent="0.25">
      <c r="A5" s="16"/>
      <c r="B5" s="17"/>
      <c r="C5" s="17"/>
      <c r="D5" s="17"/>
      <c r="E5" s="17"/>
      <c r="F5" s="17"/>
      <c r="G5" s="17"/>
      <c r="H5" s="16"/>
    </row>
    <row r="7" spans="1:8" s="19" customFormat="1" x14ac:dyDescent="0.25">
      <c r="A7" s="19" t="s">
        <v>70</v>
      </c>
      <c r="B7" s="163">
        <v>37256</v>
      </c>
    </row>
    <row r="9" spans="1:8" x14ac:dyDescent="0.25">
      <c r="A9" s="5" t="str">
        <f>CONCATENATE("Share price (",Start!K15,")")</f>
        <v>Share price (Euro)</v>
      </c>
      <c r="B9" s="41">
        <f>Target!B79</f>
        <v>55.12</v>
      </c>
    </row>
    <row r="10" spans="1:8" x14ac:dyDescent="0.25">
      <c r="A10" s="21" t="s">
        <v>47</v>
      </c>
      <c r="B10" s="164">
        <v>0.3</v>
      </c>
    </row>
    <row r="11" spans="1:8" x14ac:dyDescent="0.25">
      <c r="A11" s="5" t="s">
        <v>35</v>
      </c>
      <c r="B11" s="41">
        <f>B9*(1+B10)</f>
        <v>71.656000000000006</v>
      </c>
    </row>
    <row r="12" spans="1:8" x14ac:dyDescent="0.25">
      <c r="B12" s="41"/>
    </row>
    <row r="13" spans="1:8" x14ac:dyDescent="0.25">
      <c r="A13" s="5" t="s">
        <v>49</v>
      </c>
      <c r="B13" s="49">
        <f>+Target!C75*B11</f>
        <v>31106.248086992</v>
      </c>
    </row>
    <row r="14" spans="1:8" x14ac:dyDescent="0.25">
      <c r="A14" s="21" t="s">
        <v>36</v>
      </c>
      <c r="B14" s="164">
        <v>0.6</v>
      </c>
    </row>
    <row r="15" spans="1:8" x14ac:dyDescent="0.25">
      <c r="A15" s="21" t="s">
        <v>37</v>
      </c>
      <c r="B15" s="50">
        <f>1-B14</f>
        <v>0.4</v>
      </c>
    </row>
    <row r="16" spans="1:8" x14ac:dyDescent="0.25">
      <c r="A16" s="5" t="s">
        <v>50</v>
      </c>
      <c r="B16" s="122">
        <f>B13/Acquirer!B79*B14</f>
        <v>713.1734372256476</v>
      </c>
    </row>
    <row r="17" spans="1:2" x14ac:dyDescent="0.25">
      <c r="A17" s="5" t="s">
        <v>40</v>
      </c>
      <c r="B17" s="51">
        <f>B14*B13</f>
        <v>18663.7488521952</v>
      </c>
    </row>
    <row r="18" spans="1:2" x14ac:dyDescent="0.25">
      <c r="A18" s="5" t="s">
        <v>54</v>
      </c>
      <c r="B18" s="51">
        <f>B13-B17</f>
        <v>12442.4992347968</v>
      </c>
    </row>
    <row r="19" spans="1:2" x14ac:dyDescent="0.25">
      <c r="A19" s="10" t="s">
        <v>52</v>
      </c>
      <c r="B19" s="49">
        <f ca="1">Target!C47</f>
        <v>631.44491892432711</v>
      </c>
    </row>
    <row r="20" spans="1:2" x14ac:dyDescent="0.25">
      <c r="A20" s="10" t="s">
        <v>100</v>
      </c>
      <c r="B20" s="49">
        <f>Target!C48</f>
        <v>1011.9274625</v>
      </c>
    </row>
    <row r="21" spans="1:2" x14ac:dyDescent="0.25">
      <c r="A21" s="10" t="s">
        <v>88</v>
      </c>
      <c r="B21" s="49">
        <f>Target!C49</f>
        <v>534.19262500000002</v>
      </c>
    </row>
    <row r="22" spans="1:2" x14ac:dyDescent="0.25">
      <c r="A22" s="52" t="s">
        <v>68</v>
      </c>
      <c r="B22" s="53">
        <f ca="1">WACC!B31</f>
        <v>649.03842162314641</v>
      </c>
    </row>
    <row r="23" spans="1:2" x14ac:dyDescent="0.25">
      <c r="A23" s="5" t="s">
        <v>53</v>
      </c>
      <c r="B23" s="51">
        <f ca="1">B13+B19+B20+B21+B22</f>
        <v>33932.851515039474</v>
      </c>
    </row>
    <row r="24" spans="1:2" x14ac:dyDescent="0.25">
      <c r="B24" s="54"/>
    </row>
    <row r="25" spans="1:2" x14ac:dyDescent="0.25">
      <c r="A25" s="5" t="s">
        <v>38</v>
      </c>
      <c r="B25" s="51">
        <f ca="1">B13-(Target!C51-Target!C41)</f>
        <v>28199.476196179192</v>
      </c>
    </row>
    <row r="26" spans="1:2" x14ac:dyDescent="0.25">
      <c r="A26" s="30" t="s">
        <v>61</v>
      </c>
      <c r="B26" s="53">
        <f>Acquirer!C41</f>
        <v>14896</v>
      </c>
    </row>
    <row r="27" spans="1:2" x14ac:dyDescent="0.25">
      <c r="A27" s="5" t="s">
        <v>60</v>
      </c>
      <c r="B27" s="51">
        <f ca="1">SUM(B25:B26)</f>
        <v>43095.476196179196</v>
      </c>
    </row>
    <row r="28" spans="1:2" x14ac:dyDescent="0.25">
      <c r="B28" s="55"/>
    </row>
    <row r="29" spans="1:2" x14ac:dyDescent="0.25">
      <c r="A29" s="5" t="s">
        <v>169</v>
      </c>
      <c r="B29" s="51">
        <f ca="1">Acquirer!C47+Target!C47+Acquisition!B18</f>
        <v>19878.652527619324</v>
      </c>
    </row>
    <row r="30" spans="1:2" x14ac:dyDescent="0.25">
      <c r="A30" s="5" t="s">
        <v>170</v>
      </c>
      <c r="B30" s="51">
        <f ca="1">Acquirer!C51+Acquisition!B17</f>
        <v>35275.797169466663</v>
      </c>
    </row>
    <row r="31" spans="1:2" x14ac:dyDescent="0.25">
      <c r="B31" s="51"/>
    </row>
    <row r="32" spans="1:2" x14ac:dyDescent="0.25">
      <c r="B32" s="56"/>
    </row>
    <row r="33" spans="1:1" x14ac:dyDescent="0.25">
      <c r="A33" s="48"/>
    </row>
    <row r="35" spans="1:1" x14ac:dyDescent="0.25">
      <c r="A35" s="19"/>
    </row>
  </sheetData>
  <phoneticPr fontId="0" type="noConversion"/>
  <pageMargins left="0.39370078740157483" right="0.39370078740157483" top="0.39370078740157483" bottom="0.39370078740157483" header="0.19685039370078741" footer="0.19685039370078741"/>
  <pageSetup paperSize="9" orientation="landscape" horizontalDpi="4294967292" r:id="rId1"/>
  <headerFooter alignWithMargins="0">
    <oddHeader>&amp;L&amp;"Times New Roman,Regular"&amp;8&amp;F, &amp;A&amp;R&amp;"Times New Roman,Regular"&amp;8&amp;D, &amp;T</oddHeader>
    <oddFooter>&amp;L&amp;"Times New Roman,Regular"&amp;8© BG Training 2003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zoomScaleSheetLayoutView="100" workbookViewId="0"/>
  </sheetViews>
  <sheetFormatPr defaultRowHeight="15" x14ac:dyDescent="0.25"/>
  <cols>
    <col min="1" max="1" width="32.42578125" style="5" customWidth="1"/>
    <col min="2" max="16384" width="9.140625" style="5"/>
  </cols>
  <sheetData>
    <row r="1" spans="1:8" ht="9.9499999999999993" customHeight="1" x14ac:dyDescent="0.25">
      <c r="A1" s="16"/>
      <c r="B1" s="16"/>
      <c r="C1" s="16"/>
      <c r="D1" s="16"/>
      <c r="E1" s="16"/>
      <c r="F1" s="16"/>
      <c r="G1" s="16"/>
      <c r="H1" s="16"/>
    </row>
    <row r="2" spans="1:8" x14ac:dyDescent="0.25">
      <c r="A2" s="17" t="str">
        <f>CONCATENATE(Start!K11," - ",Start!K12)</f>
        <v>ABC - DEF</v>
      </c>
      <c r="B2" s="17"/>
      <c r="C2" s="17"/>
      <c r="D2" s="17"/>
      <c r="E2" s="17"/>
      <c r="F2" s="17"/>
      <c r="G2" s="17"/>
      <c r="H2" s="17"/>
    </row>
    <row r="3" spans="1:8" x14ac:dyDescent="0.25">
      <c r="A3" s="18" t="str">
        <f>CONCATENATE("(",Start!K15," Millions, except per share amounts)")</f>
        <v>(Euro Millions, except per share amounts)</v>
      </c>
      <c r="B3" s="17"/>
      <c r="C3" s="17"/>
      <c r="D3" s="17"/>
      <c r="E3" s="17"/>
      <c r="F3" s="17"/>
      <c r="G3" s="17"/>
      <c r="H3" s="18"/>
    </row>
    <row r="4" spans="1:8" x14ac:dyDescent="0.25">
      <c r="A4" s="16" t="str">
        <f>CONCATENATE(Start!H13," ",Start!K13)</f>
        <v xml:space="preserve">Fiscal Year End December </v>
      </c>
      <c r="B4" s="17"/>
      <c r="C4" s="17"/>
      <c r="D4" s="17"/>
      <c r="E4" s="17"/>
      <c r="F4" s="17"/>
      <c r="G4" s="17"/>
      <c r="H4" s="16"/>
    </row>
    <row r="5" spans="1:8" ht="9.9499999999999993" customHeight="1" x14ac:dyDescent="0.25">
      <c r="A5" s="16"/>
      <c r="B5" s="17"/>
      <c r="C5" s="17"/>
      <c r="D5" s="17"/>
      <c r="E5" s="17"/>
      <c r="F5" s="17"/>
      <c r="G5" s="17"/>
      <c r="H5" s="16"/>
    </row>
    <row r="7" spans="1:8" x14ac:dyDescent="0.25">
      <c r="A7" s="19" t="str">
        <f>Target!A7</f>
        <v>Year</v>
      </c>
      <c r="B7" s="19">
        <f>Target!B7</f>
        <v>0</v>
      </c>
      <c r="C7" s="19">
        <f>Target!C7</f>
        <v>1</v>
      </c>
      <c r="D7" s="19">
        <f>Target!D7</f>
        <v>2</v>
      </c>
      <c r="E7" s="19">
        <f>Target!E7</f>
        <v>3</v>
      </c>
      <c r="F7" s="19">
        <f>Target!F7</f>
        <v>4</v>
      </c>
      <c r="G7" s="19">
        <f>Target!G7</f>
        <v>5</v>
      </c>
      <c r="H7" s="19">
        <f>Target!H7</f>
        <v>6</v>
      </c>
    </row>
    <row r="9" spans="1:8" x14ac:dyDescent="0.25">
      <c r="A9" s="21" t="s">
        <v>48</v>
      </c>
      <c r="B9" s="57"/>
      <c r="C9" s="165"/>
      <c r="D9" s="164">
        <v>0</v>
      </c>
      <c r="E9" s="164">
        <v>5.0000000000000001E-3</v>
      </c>
      <c r="F9" s="164">
        <f>E9</f>
        <v>5.0000000000000001E-3</v>
      </c>
      <c r="G9" s="164">
        <f>F9</f>
        <v>5.0000000000000001E-3</v>
      </c>
      <c r="H9" s="164">
        <f>G9</f>
        <v>5.0000000000000001E-3</v>
      </c>
    </row>
    <row r="10" spans="1:8" x14ac:dyDescent="0.25">
      <c r="A10" s="21" t="s">
        <v>161</v>
      </c>
      <c r="B10" s="57"/>
      <c r="C10" s="164">
        <f>7067/Target!B26</f>
        <v>0.45286767061839156</v>
      </c>
      <c r="D10" s="164">
        <f>C10+Target!C11-Target!B11</f>
        <v>0.46073373918615823</v>
      </c>
      <c r="E10" s="164">
        <f>D10+Target!D11-Target!C11</f>
        <v>0.46073373918615823</v>
      </c>
      <c r="F10" s="164">
        <f>E10+Target!E11-Target!D11</f>
        <v>0.46073373918615823</v>
      </c>
      <c r="G10" s="164">
        <f>F10+Target!F11-Target!E11</f>
        <v>0.46073373918615823</v>
      </c>
      <c r="H10" s="164">
        <f>G10+Target!G11-Target!F11</f>
        <v>0.46073373918615823</v>
      </c>
    </row>
    <row r="11" spans="1:8" x14ac:dyDescent="0.25">
      <c r="A11" s="21" t="s">
        <v>162</v>
      </c>
      <c r="B11" s="57"/>
      <c r="C11" s="165"/>
      <c r="D11" s="164">
        <v>0</v>
      </c>
      <c r="E11" s="164">
        <v>7.4999999999999997E-2</v>
      </c>
      <c r="F11" s="164">
        <f>E11</f>
        <v>7.4999999999999997E-2</v>
      </c>
      <c r="G11" s="164">
        <f>F11</f>
        <v>7.4999999999999997E-2</v>
      </c>
      <c r="H11" s="164">
        <f>G11</f>
        <v>7.4999999999999997E-2</v>
      </c>
    </row>
    <row r="12" spans="1:8" x14ac:dyDescent="0.25">
      <c r="A12" s="5" t="s">
        <v>194</v>
      </c>
      <c r="B12" s="58"/>
      <c r="C12" s="166"/>
      <c r="D12" s="157">
        <f>E14*-2</f>
        <v>-781.5</v>
      </c>
      <c r="E12" s="157">
        <v>0</v>
      </c>
      <c r="F12" s="157">
        <v>0</v>
      </c>
      <c r="G12" s="157">
        <v>0</v>
      </c>
      <c r="H12" s="157">
        <v>0</v>
      </c>
    </row>
    <row r="13" spans="1:8" x14ac:dyDescent="0.25">
      <c r="A13" s="5" t="s">
        <v>163</v>
      </c>
      <c r="B13" s="26"/>
      <c r="C13" s="34"/>
      <c r="D13" s="26">
        <f>D9*D10*Target!D26</f>
        <v>0</v>
      </c>
      <c r="E13" s="26">
        <f>E9*E10*Target!E26</f>
        <v>41.496346720499993</v>
      </c>
      <c r="F13" s="26">
        <f>F9*F10*Target!F26</f>
        <v>43.446675016363486</v>
      </c>
      <c r="G13" s="26">
        <f>G9*G10*Target!G26</f>
        <v>45.445222067116205</v>
      </c>
      <c r="H13" s="26">
        <f>H9*H10*Target!H26</f>
        <v>47.490257060136436</v>
      </c>
    </row>
    <row r="14" spans="1:8" x14ac:dyDescent="0.25">
      <c r="A14" s="30" t="s">
        <v>164</v>
      </c>
      <c r="B14" s="147"/>
      <c r="C14" s="30"/>
      <c r="D14" s="28">
        <f>(7067-1857)*D11</f>
        <v>0</v>
      </c>
      <c r="E14" s="28">
        <f>(7067-1857)*E11</f>
        <v>390.75</v>
      </c>
      <c r="F14" s="28">
        <f>(7067-1857)*F11</f>
        <v>390.75</v>
      </c>
      <c r="G14" s="28">
        <f>(7067-1857)*G11</f>
        <v>390.75</v>
      </c>
      <c r="H14" s="28">
        <f>(7067-1857)*H11</f>
        <v>390.75</v>
      </c>
    </row>
    <row r="15" spans="1:8" x14ac:dyDescent="0.25">
      <c r="A15" s="10" t="s">
        <v>42</v>
      </c>
      <c r="B15" s="40"/>
      <c r="C15" s="40"/>
      <c r="D15" s="40">
        <f>SUM(D12:D14)</f>
        <v>-781.5</v>
      </c>
      <c r="E15" s="40">
        <f>SUM(E12:E14)</f>
        <v>432.24634672050001</v>
      </c>
      <c r="F15" s="40">
        <f>SUM(F12:F14)</f>
        <v>434.19667501636349</v>
      </c>
      <c r="G15" s="40">
        <f>SUM(G12:G14)</f>
        <v>436.19522206711622</v>
      </c>
      <c r="H15" s="40">
        <f>SUM(H12:H14)</f>
        <v>438.24025706013646</v>
      </c>
    </row>
    <row r="16" spans="1:8" x14ac:dyDescent="0.25">
      <c r="A16" s="52" t="s">
        <v>43</v>
      </c>
      <c r="B16" s="28"/>
      <c r="C16" s="28"/>
      <c r="D16" s="28">
        <f>D15*-Target!D13</f>
        <v>198.35957696827262</v>
      </c>
      <c r="E16" s="28">
        <f>E15*-Target!E13</f>
        <v>-109.71235122400471</v>
      </c>
      <c r="F16" s="28">
        <f>F15*-Target!F13</f>
        <v>-110.20738167277851</v>
      </c>
      <c r="G16" s="28">
        <f>G15*-Target!G13</f>
        <v>-110.71465095945605</v>
      </c>
      <c r="H16" s="28">
        <f>H15*-Target!H13</f>
        <v>-111.23371977084544</v>
      </c>
    </row>
    <row r="17" spans="1:8" x14ac:dyDescent="0.25">
      <c r="A17" s="5" t="s">
        <v>165</v>
      </c>
      <c r="B17" s="26"/>
      <c r="C17" s="26"/>
      <c r="D17" s="26">
        <f>D15+D16</f>
        <v>-583.14042303172732</v>
      </c>
      <c r="E17" s="26">
        <f>E15+E16</f>
        <v>322.53399549649532</v>
      </c>
      <c r="F17" s="26">
        <f>F15+F16</f>
        <v>323.98929334358496</v>
      </c>
      <c r="G17" s="26">
        <f>G15+G16</f>
        <v>325.48057110766018</v>
      </c>
      <c r="H17" s="26">
        <f>H15+H16</f>
        <v>327.00653728929103</v>
      </c>
    </row>
    <row r="18" spans="1:8" x14ac:dyDescent="0.25">
      <c r="B18" s="26"/>
      <c r="C18" s="26"/>
      <c r="D18" s="26"/>
      <c r="E18" s="26"/>
      <c r="F18" s="26"/>
      <c r="G18" s="26"/>
      <c r="H18" s="26"/>
    </row>
    <row r="20" spans="1:8" x14ac:dyDescent="0.25">
      <c r="A20" s="48"/>
    </row>
  </sheetData>
  <phoneticPr fontId="0" type="noConversion"/>
  <pageMargins left="0.39370078740157483" right="0.39370078740157483" top="0.39370078740157483" bottom="0.39370078740157483" header="0.19685039370078741" footer="0.19685039370078741"/>
  <pageSetup paperSize="9" orientation="landscape" horizontalDpi="4294967292" verticalDpi="360" r:id="rId1"/>
  <headerFooter alignWithMargins="0">
    <oddHeader>&amp;L&amp;"Times New Roman,Regular"&amp;8&amp;F, &amp;A&amp;R&amp;"Times New Roman,Regular"&amp;8&amp;D, &amp;T</oddHeader>
    <oddFooter>&amp;L&amp;"Times New Roman,Regular"&amp;8© BG Training 2003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showGridLines="0" topLeftCell="A94" zoomScaleNormal="100" zoomScaleSheetLayoutView="100" workbookViewId="0"/>
  </sheetViews>
  <sheetFormatPr defaultRowHeight="15" x14ac:dyDescent="0.25"/>
  <cols>
    <col min="1" max="1" width="37.140625" style="62" customWidth="1"/>
    <col min="2" max="16384" width="9.140625" style="62"/>
  </cols>
  <sheetData>
    <row r="1" spans="1:10" ht="9.9499999999999993" customHeight="1" x14ac:dyDescent="0.2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x14ac:dyDescent="0.25">
      <c r="A2" s="63" t="str">
        <f>CONCATENATE(Start!K11," - ",Start!K12)</f>
        <v>ABC - DEF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x14ac:dyDescent="0.25">
      <c r="A3" s="167" t="s">
        <v>86</v>
      </c>
      <c r="B3" s="64"/>
      <c r="C3" s="64"/>
      <c r="D3" s="64"/>
      <c r="E3" s="64"/>
      <c r="F3" s="64"/>
      <c r="G3" s="64"/>
      <c r="H3" s="64"/>
      <c r="I3" s="64"/>
      <c r="J3" s="66"/>
    </row>
    <row r="4" spans="1:10" x14ac:dyDescent="0.25">
      <c r="A4" s="67" t="str">
        <f>CONCATENATE("(",Start!K15," Millions, except per share amounts)")</f>
        <v>(Euro Millions, except per share amounts)</v>
      </c>
      <c r="B4" s="64"/>
      <c r="C4" s="64"/>
      <c r="D4" s="64"/>
      <c r="E4" s="64"/>
      <c r="F4" s="64"/>
      <c r="G4" s="64"/>
      <c r="H4" s="64"/>
      <c r="I4" s="64"/>
      <c r="J4" s="68"/>
    </row>
    <row r="5" spans="1:10" x14ac:dyDescent="0.25">
      <c r="A5" s="69" t="str">
        <f>CONCATENATE(Start!H13," ",Start!K13)</f>
        <v xml:space="preserve">Fiscal Year End December </v>
      </c>
      <c r="B5" s="64"/>
      <c r="C5" s="64"/>
      <c r="D5" s="64"/>
      <c r="E5" s="64"/>
      <c r="F5" s="64"/>
      <c r="G5" s="64"/>
      <c r="H5" s="64"/>
      <c r="I5" s="64"/>
      <c r="J5" s="70"/>
    </row>
    <row r="6" spans="1:10" ht="9.9499999999999993" customHeight="1" thickBot="1" x14ac:dyDescent="0.3">
      <c r="A6" s="71"/>
      <c r="B6" s="72"/>
      <c r="C6" s="72"/>
      <c r="D6" s="72"/>
      <c r="E6" s="72"/>
      <c r="F6" s="72"/>
      <c r="G6" s="72"/>
      <c r="H6" s="72"/>
      <c r="I6" s="72"/>
      <c r="J6" s="73"/>
    </row>
    <row r="7" spans="1:10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 x14ac:dyDescent="0.25">
      <c r="A8" s="74"/>
      <c r="B8" s="75" t="str">
        <f>+Start!K11</f>
        <v>ABC</v>
      </c>
      <c r="C8" s="75"/>
      <c r="D8" s="76"/>
      <c r="E8" s="76"/>
      <c r="F8" s="75" t="str">
        <f>+CONCATENATE(Start!K11," plus ",Start!K12)</f>
        <v>ABC plus DEF</v>
      </c>
      <c r="G8" s="75"/>
      <c r="H8" s="75"/>
      <c r="I8" s="75"/>
      <c r="J8" s="77"/>
    </row>
    <row r="9" spans="1:10" ht="15" customHeight="1" x14ac:dyDescent="0.25">
      <c r="A9" s="74" t="str">
        <f>Acquirer!A7</f>
        <v>Year</v>
      </c>
      <c r="B9" s="74">
        <f>Acquirer!B7</f>
        <v>0</v>
      </c>
      <c r="C9" s="74">
        <f>Acquirer!C7</f>
        <v>1</v>
      </c>
      <c r="D9" s="76" t="s">
        <v>71</v>
      </c>
      <c r="E9" s="74" t="s">
        <v>69</v>
      </c>
      <c r="F9" s="74">
        <f>Acquirer!D7</f>
        <v>2</v>
      </c>
      <c r="G9" s="74">
        <f>Acquirer!E7</f>
        <v>3</v>
      </c>
      <c r="H9" s="74">
        <f>Acquirer!F7</f>
        <v>4</v>
      </c>
      <c r="I9" s="74">
        <f>Acquirer!G7</f>
        <v>5</v>
      </c>
      <c r="J9" s="74">
        <f>Acquirer!H7</f>
        <v>6</v>
      </c>
    </row>
    <row r="10" spans="1:10" ht="15" customHeight="1" x14ac:dyDescent="0.25"/>
    <row r="11" spans="1:10" ht="15" customHeight="1" x14ac:dyDescent="0.25">
      <c r="A11" s="78" t="s">
        <v>171</v>
      </c>
      <c r="B11" s="79">
        <f>Acquirer!B12</f>
        <v>4.2933606650723155E-2</v>
      </c>
      <c r="C11" s="79">
        <f>Acquirer!C12</f>
        <v>4.2933606650723155E-2</v>
      </c>
      <c r="D11" s="141"/>
      <c r="E11" s="141"/>
      <c r="F11" s="168">
        <f>Acquirer!D12</f>
        <v>4.2933606650723155E-2</v>
      </c>
      <c r="G11" s="168">
        <f>F11</f>
        <v>4.2933606650723155E-2</v>
      </c>
      <c r="H11" s="168">
        <f>G11</f>
        <v>4.2933606650723155E-2</v>
      </c>
      <c r="I11" s="168">
        <f>H11</f>
        <v>4.2933606650723155E-2</v>
      </c>
      <c r="J11" s="168">
        <f>I11</f>
        <v>4.2933606650723155E-2</v>
      </c>
    </row>
    <row r="12" spans="1:10" ht="15" customHeight="1" x14ac:dyDescent="0.25">
      <c r="A12" s="78" t="s">
        <v>199</v>
      </c>
      <c r="B12" s="79">
        <f>Acquirer!B13</f>
        <v>0.24862047823421213</v>
      </c>
      <c r="C12" s="79">
        <f>Acquirer!C13</f>
        <v>0.26</v>
      </c>
      <c r="D12" s="141"/>
      <c r="E12" s="141"/>
      <c r="F12" s="168">
        <f>Acquirer!D13*Consolidation!F19/(Consolidation!F19+Consolidation!F20)+Target!D13*Consolidation!F20/(Consolidation!F19+Consolidation!F20)</f>
        <v>0.25859850852599997</v>
      </c>
      <c r="G12" s="168">
        <f>Acquirer!E13*Consolidation!G19/(Consolidation!G19+Consolidation!G20)+Target!E13*Consolidation!G20/(Consolidation!G19+Consolidation!G20)</f>
        <v>0.25859539941258719</v>
      </c>
      <c r="H12" s="168">
        <f>Acquirer!F13*Consolidation!H19/(Consolidation!H19+Consolidation!H20)+Target!F13*Consolidation!H20/(Consolidation!H19+Consolidation!H20)</f>
        <v>0.25858810492277079</v>
      </c>
      <c r="I12" s="168">
        <f>Acquirer!G13*Consolidation!I19/(Consolidation!I19+Consolidation!I20)+Target!G13*Consolidation!I20/(Consolidation!I19+Consolidation!I20)</f>
        <v>0.25857655500033583</v>
      </c>
      <c r="J12" s="168">
        <f>Acquirer!H13*Consolidation!J19/(Consolidation!J19+Consolidation!J20)+Target!H13*Consolidation!J20/(Consolidation!J19+Consolidation!J20)</f>
        <v>0.25856599267874109</v>
      </c>
    </row>
    <row r="13" spans="1:10" ht="15" customHeight="1" x14ac:dyDescent="0.25"/>
    <row r="14" spans="1:10" ht="15" customHeight="1" x14ac:dyDescent="0.25">
      <c r="A14" s="74" t="str">
        <f>Acquirer!A25</f>
        <v>Profit and loss account</v>
      </c>
    </row>
    <row r="15" spans="1:10" ht="15" customHeight="1" x14ac:dyDescent="0.25">
      <c r="A15" s="62" t="s">
        <v>172</v>
      </c>
      <c r="B15" s="80">
        <f>Acquirer!B26</f>
        <v>46467</v>
      </c>
      <c r="C15" s="80">
        <f>Acquirer!C26</f>
        <v>48790.35</v>
      </c>
      <c r="D15" s="124"/>
      <c r="E15" s="124"/>
      <c r="F15" s="80">
        <f>Acquirer!D26</f>
        <v>51229.8675</v>
      </c>
      <c r="G15" s="80">
        <f>Acquirer!E26</f>
        <v>53535.211537499999</v>
      </c>
      <c r="H15" s="80">
        <f>Acquirer!F26</f>
        <v>55676.619999000002</v>
      </c>
      <c r="I15" s="80">
        <f>Acquirer!G26</f>
        <v>57625.301698964999</v>
      </c>
      <c r="J15" s="80">
        <f>Acquirer!H26</f>
        <v>59642.18725842877</v>
      </c>
    </row>
    <row r="16" spans="1:10" ht="15" customHeight="1" x14ac:dyDescent="0.25">
      <c r="A16" s="62" t="s">
        <v>55</v>
      </c>
      <c r="B16" s="81">
        <v>0</v>
      </c>
      <c r="C16" s="81">
        <v>0</v>
      </c>
      <c r="D16" s="125"/>
      <c r="E16" s="126"/>
      <c r="F16" s="80">
        <f>Target!D26</f>
        <v>17188.127249999998</v>
      </c>
      <c r="G16" s="80">
        <f>Target!E26</f>
        <v>18013.157357999997</v>
      </c>
      <c r="H16" s="80">
        <f>Target!F26</f>
        <v>18859.775753825994</v>
      </c>
      <c r="I16" s="80">
        <f>Target!G26</f>
        <v>19727.32543850199</v>
      </c>
      <c r="J16" s="80">
        <f>Target!H26</f>
        <v>20615.05508323458</v>
      </c>
    </row>
    <row r="17" spans="1:10" ht="15" customHeight="1" x14ac:dyDescent="0.25">
      <c r="A17" s="62" t="s">
        <v>56</v>
      </c>
      <c r="B17" s="82">
        <v>0</v>
      </c>
      <c r="C17" s="82">
        <v>0</v>
      </c>
      <c r="D17" s="127"/>
      <c r="E17" s="127"/>
      <c r="F17" s="83">
        <f>F16*Synergies!D9</f>
        <v>0</v>
      </c>
      <c r="G17" s="83">
        <f>G16*Synergies!E9</f>
        <v>90.06578678999999</v>
      </c>
      <c r="H17" s="83">
        <f>H16*Synergies!F9</f>
        <v>94.298878769129971</v>
      </c>
      <c r="I17" s="83">
        <f>I16*Synergies!G9</f>
        <v>98.636627192509948</v>
      </c>
      <c r="J17" s="83">
        <f>J16*Synergies!H9</f>
        <v>103.0752754161729</v>
      </c>
    </row>
    <row r="18" spans="1:10" ht="15" customHeight="1" x14ac:dyDescent="0.25">
      <c r="A18" s="84" t="str">
        <f>Acquirer!A26</f>
        <v>Sales</v>
      </c>
      <c r="B18" s="85">
        <f>SUM(B15:B17)</f>
        <v>46467</v>
      </c>
      <c r="C18" s="85">
        <f>SUM(C15:C17)</f>
        <v>48790.35</v>
      </c>
      <c r="D18" s="128"/>
      <c r="E18" s="128"/>
      <c r="F18" s="85">
        <f>SUM(F15:F17)</f>
        <v>68417.994749999998</v>
      </c>
      <c r="G18" s="85">
        <f>SUM(G15:G17)</f>
        <v>71638.434682289997</v>
      </c>
      <c r="H18" s="85">
        <f>SUM(H15:H17)</f>
        <v>74630.694631595121</v>
      </c>
      <c r="I18" s="85">
        <f>SUM(I15:I17)</f>
        <v>77451.263764659496</v>
      </c>
      <c r="J18" s="85">
        <f>SUM(J15:J17)</f>
        <v>80360.31761707952</v>
      </c>
    </row>
    <row r="19" spans="1:10" ht="15" customHeight="1" x14ac:dyDescent="0.25">
      <c r="A19" s="62" t="s">
        <v>173</v>
      </c>
      <c r="B19" s="80">
        <f>Acquirer!B27</f>
        <v>7975</v>
      </c>
      <c r="C19" s="80">
        <f>Acquirer!C27</f>
        <v>8373.75</v>
      </c>
      <c r="D19" s="124"/>
      <c r="E19" s="124"/>
      <c r="F19" s="80">
        <f>Acquirer!D27</f>
        <v>8792.4375</v>
      </c>
      <c r="G19" s="80">
        <f>Acquirer!E27</f>
        <v>9188.0971874999996</v>
      </c>
      <c r="H19" s="80">
        <f>Acquirer!F27</f>
        <v>9555.6210750000009</v>
      </c>
      <c r="I19" s="80">
        <f>Acquirer!G27</f>
        <v>9890.0678126250004</v>
      </c>
      <c r="J19" s="80">
        <f>Acquirer!H27</f>
        <v>10236.220186066874</v>
      </c>
    </row>
    <row r="20" spans="1:10" ht="15" customHeight="1" x14ac:dyDescent="0.25">
      <c r="A20" s="62" t="s">
        <v>57</v>
      </c>
      <c r="B20" s="81">
        <v>0</v>
      </c>
      <c r="C20" s="81">
        <v>0</v>
      </c>
      <c r="D20" s="125"/>
      <c r="E20" s="129"/>
      <c r="F20" s="80">
        <f>Target!D27</f>
        <v>2578.2190874999997</v>
      </c>
      <c r="G20" s="80">
        <f>Target!E27</f>
        <v>2701.9736036999993</v>
      </c>
      <c r="H20" s="80">
        <f>Target!F27</f>
        <v>2828.9663630738992</v>
      </c>
      <c r="I20" s="80">
        <f>Target!G27</f>
        <v>2959.0988157752986</v>
      </c>
      <c r="J20" s="80">
        <f>Target!H27</f>
        <v>3092.2582624851871</v>
      </c>
    </row>
    <row r="21" spans="1:10" ht="15" customHeight="1" x14ac:dyDescent="0.25">
      <c r="A21" s="62" t="s">
        <v>58</v>
      </c>
      <c r="B21" s="82">
        <v>0</v>
      </c>
      <c r="C21" s="82">
        <v>0</v>
      </c>
      <c r="D21" s="127"/>
      <c r="E21" s="127"/>
      <c r="F21" s="83">
        <f>Synergies!D15-Synergies!D12</f>
        <v>0</v>
      </c>
      <c r="G21" s="83">
        <f>Synergies!E15-Synergies!E12</f>
        <v>432.24634672050001</v>
      </c>
      <c r="H21" s="83">
        <f>Synergies!F15-Synergies!F12</f>
        <v>434.19667501636349</v>
      </c>
      <c r="I21" s="83">
        <f>Synergies!G15-Synergies!G12</f>
        <v>436.19522206711622</v>
      </c>
      <c r="J21" s="83">
        <f>Synergies!H15-Synergies!H12</f>
        <v>438.24025706013646</v>
      </c>
    </row>
    <row r="22" spans="1:10" ht="15" customHeight="1" x14ac:dyDescent="0.25">
      <c r="A22" s="84" t="s">
        <v>41</v>
      </c>
      <c r="B22" s="85">
        <f t="shared" ref="B22:J22" si="0">SUM(B19:B21)</f>
        <v>7975</v>
      </c>
      <c r="C22" s="85">
        <f>SUM(C19:C21)</f>
        <v>8373.75</v>
      </c>
      <c r="D22" s="128"/>
      <c r="E22" s="128"/>
      <c r="F22" s="85">
        <f t="shared" si="0"/>
        <v>11370.6565875</v>
      </c>
      <c r="G22" s="85">
        <f t="shared" si="0"/>
        <v>12322.3171379205</v>
      </c>
      <c r="H22" s="85">
        <f t="shared" si="0"/>
        <v>12818.784113090263</v>
      </c>
      <c r="I22" s="85">
        <f t="shared" si="0"/>
        <v>13285.361850467414</v>
      </c>
      <c r="J22" s="85">
        <f t="shared" si="0"/>
        <v>13766.718705612198</v>
      </c>
    </row>
    <row r="23" spans="1:10" ht="15" customHeight="1" x14ac:dyDescent="0.25">
      <c r="A23" s="62" t="s">
        <v>174</v>
      </c>
      <c r="B23" s="80">
        <f>Acquirer!B28</f>
        <v>-1074</v>
      </c>
      <c r="C23" s="80">
        <f>Acquirer!C28</f>
        <v>-1127.6999999999998</v>
      </c>
      <c r="D23" s="124"/>
      <c r="E23" s="124"/>
      <c r="F23" s="80">
        <f>Acquirer!D28</f>
        <v>-1184.0849999999998</v>
      </c>
      <c r="G23" s="80">
        <f>Acquirer!E28</f>
        <v>-1237.368825</v>
      </c>
      <c r="H23" s="80">
        <f>Acquirer!F28</f>
        <v>-1286.8635780000002</v>
      </c>
      <c r="I23" s="80">
        <f>Acquirer!G28</f>
        <v>-1331.90380323</v>
      </c>
      <c r="J23" s="80">
        <f>Acquirer!H28</f>
        <v>-1378.5204363430498</v>
      </c>
    </row>
    <row r="24" spans="1:10" ht="15" customHeight="1" x14ac:dyDescent="0.25">
      <c r="A24" s="62" t="s">
        <v>59</v>
      </c>
      <c r="B24" s="81">
        <v>0</v>
      </c>
      <c r="C24" s="81">
        <v>0</v>
      </c>
      <c r="D24" s="125"/>
      <c r="E24" s="125"/>
      <c r="F24" s="80">
        <f>Target!D28</f>
        <v>-574.0584701998323</v>
      </c>
      <c r="G24" s="80">
        <f>Target!E28</f>
        <v>-620.29315014220879</v>
      </c>
      <c r="H24" s="80">
        <f>Target!F28</f>
        <v>-670.25820151143694</v>
      </c>
      <c r="I24" s="80">
        <f>Target!G28</f>
        <v>-724.29998921606511</v>
      </c>
      <c r="J24" s="80">
        <f>Target!H28</f>
        <v>-782.80873290325167</v>
      </c>
    </row>
    <row r="25" spans="1:10" ht="15" customHeight="1" x14ac:dyDescent="0.25">
      <c r="A25" s="86" t="str">
        <f>Acquirer!A28</f>
        <v>Depreciation &amp; amortisation</v>
      </c>
      <c r="B25" s="87">
        <f t="shared" ref="B25:J25" si="1">SUM(B23:B24)</f>
        <v>-1074</v>
      </c>
      <c r="C25" s="87">
        <f>SUM(C23:C24)</f>
        <v>-1127.6999999999998</v>
      </c>
      <c r="D25" s="130"/>
      <c r="E25" s="130"/>
      <c r="F25" s="87">
        <f t="shared" si="1"/>
        <v>-1758.1434701998321</v>
      </c>
      <c r="G25" s="87">
        <f t="shared" si="1"/>
        <v>-1857.6619751422088</v>
      </c>
      <c r="H25" s="87">
        <f t="shared" si="1"/>
        <v>-1957.1217795114371</v>
      </c>
      <c r="I25" s="87">
        <f t="shared" si="1"/>
        <v>-2056.2037924460651</v>
      </c>
      <c r="J25" s="87">
        <f t="shared" si="1"/>
        <v>-2161.3291692463017</v>
      </c>
    </row>
    <row r="26" spans="1:10" ht="15" customHeight="1" x14ac:dyDescent="0.25">
      <c r="A26" s="74" t="str">
        <f>Acquirer!A29</f>
        <v>EBIT</v>
      </c>
      <c r="B26" s="88">
        <f>B22+B25</f>
        <v>6901</v>
      </c>
      <c r="C26" s="88">
        <f>C22+C25</f>
        <v>7246.05</v>
      </c>
      <c r="D26" s="131"/>
      <c r="E26" s="131"/>
      <c r="F26" s="88">
        <f>F22+F25</f>
        <v>9612.5131173001682</v>
      </c>
      <c r="G26" s="88">
        <f>G22+G25</f>
        <v>10464.65516277829</v>
      </c>
      <c r="H26" s="88">
        <f>H22+H25</f>
        <v>10861.662333578826</v>
      </c>
      <c r="I26" s="88">
        <f>I22+I25</f>
        <v>11229.158058021349</v>
      </c>
      <c r="J26" s="88">
        <f>J22+J25</f>
        <v>11605.389536365896</v>
      </c>
    </row>
    <row r="27" spans="1:10" s="90" customFormat="1" ht="15" customHeight="1" x14ac:dyDescent="0.25">
      <c r="A27" s="89" t="s">
        <v>75</v>
      </c>
      <c r="B27" s="83">
        <f>Acquirer!B30</f>
        <v>-468</v>
      </c>
      <c r="C27" s="83">
        <f>Acquirer!C30</f>
        <v>0</v>
      </c>
      <c r="D27" s="132"/>
      <c r="E27" s="133"/>
      <c r="F27" s="83">
        <f>Acquirer!D30+Target!D30+Synergies!D12</f>
        <v>-781.5</v>
      </c>
      <c r="G27" s="83">
        <f>Acquirer!E30+Target!E30+Synergies!E12</f>
        <v>0</v>
      </c>
      <c r="H27" s="83">
        <f>Acquirer!F30+Target!F30+Synergies!F12</f>
        <v>0</v>
      </c>
      <c r="I27" s="83">
        <f>Acquirer!G30+Target!G30+Synergies!G12</f>
        <v>0</v>
      </c>
      <c r="J27" s="83">
        <f>Acquirer!H30+Target!H30+Synergies!H12</f>
        <v>0</v>
      </c>
    </row>
    <row r="28" spans="1:10" s="89" customFormat="1" ht="15" customHeight="1" x14ac:dyDescent="0.25">
      <c r="A28" s="89" t="s">
        <v>12</v>
      </c>
      <c r="B28" s="83">
        <f>Acquirer!B31</f>
        <v>-377</v>
      </c>
      <c r="C28" s="83">
        <f ca="1">Acquirer!C31</f>
        <v>-334.57533634891359</v>
      </c>
      <c r="D28" s="132"/>
      <c r="E28" s="134"/>
      <c r="F28" s="83"/>
      <c r="G28" s="83"/>
      <c r="H28" s="83"/>
      <c r="I28" s="83"/>
      <c r="J28" s="83"/>
    </row>
    <row r="29" spans="1:10" ht="15" customHeight="1" x14ac:dyDescent="0.25">
      <c r="A29" s="74" t="str">
        <f>Acquirer!A32</f>
        <v>Pre-tax profit</v>
      </c>
      <c r="B29" s="88">
        <f>B26+B27+B28</f>
        <v>6056</v>
      </c>
      <c r="C29" s="88">
        <f ca="1">C26+C27+C28</f>
        <v>6911.4746636510863</v>
      </c>
      <c r="D29" s="131"/>
      <c r="E29" s="131"/>
      <c r="F29" s="88">
        <f>F26+F27+F28</f>
        <v>8831.0131173001682</v>
      </c>
      <c r="G29" s="88">
        <f>G26+G27+G28</f>
        <v>10464.65516277829</v>
      </c>
      <c r="H29" s="88">
        <f>H26+H27+H28</f>
        <v>10861.662333578826</v>
      </c>
      <c r="I29" s="88">
        <f>I26+I27+I28</f>
        <v>11229.158058021349</v>
      </c>
      <c r="J29" s="88">
        <f>J26+J27+J28</f>
        <v>11605.389536365896</v>
      </c>
    </row>
    <row r="30" spans="1:10" ht="15" customHeight="1" x14ac:dyDescent="0.25">
      <c r="A30" s="89" t="str">
        <f>Acquirer!A33</f>
        <v>Taxation</v>
      </c>
      <c r="B30" s="83">
        <f>Acquirer!B33</f>
        <v>-1622</v>
      </c>
      <c r="C30" s="83">
        <f ca="1">Acquirer!C33</f>
        <v>-1796.9834125492825</v>
      </c>
      <c r="D30" s="132"/>
      <c r="E30" s="132"/>
      <c r="F30" s="83">
        <f>F29*-F12</f>
        <v>-2283.686820907365</v>
      </c>
      <c r="G30" s="83">
        <f>G29*-G12</f>
        <v>-2706.1116815336445</v>
      </c>
      <c r="H30" s="83">
        <f>H29*-H12</f>
        <v>-2808.6966791511891</v>
      </c>
      <c r="I30" s="83">
        <f>I29*-I12</f>
        <v>-2903.5970061974217</v>
      </c>
      <c r="J30" s="83">
        <f>J29*-J12</f>
        <v>-3000.7590658939225</v>
      </c>
    </row>
    <row r="31" spans="1:10" ht="15" customHeight="1" x14ac:dyDescent="0.25">
      <c r="A31" s="74" t="str">
        <f>Acquirer!A34</f>
        <v>Net profit</v>
      </c>
      <c r="B31" s="88">
        <f>B29+B30</f>
        <v>4434</v>
      </c>
      <c r="C31" s="88">
        <f ca="1">C29+C30</f>
        <v>5114.4912511018038</v>
      </c>
      <c r="D31" s="131"/>
      <c r="E31" s="131"/>
      <c r="F31" s="88">
        <f>F29+F30</f>
        <v>6547.3262963928028</v>
      </c>
      <c r="G31" s="88">
        <f>G29+G30</f>
        <v>7758.5434812446456</v>
      </c>
      <c r="H31" s="88">
        <f>H29+H30</f>
        <v>8052.9656544276368</v>
      </c>
      <c r="I31" s="88">
        <f>I29+I30</f>
        <v>8325.5610518239264</v>
      </c>
      <c r="J31" s="88">
        <f>J29+J30</f>
        <v>8604.6304704719732</v>
      </c>
    </row>
    <row r="32" spans="1:10" ht="15" customHeight="1" x14ac:dyDescent="0.25">
      <c r="A32" s="62" t="s">
        <v>175</v>
      </c>
      <c r="B32" s="80">
        <f>Acquirer!B35</f>
        <v>189</v>
      </c>
      <c r="C32" s="80">
        <f ca="1">Acquirer!C35</f>
        <v>197.19274713550408</v>
      </c>
      <c r="D32" s="124"/>
      <c r="E32" s="124"/>
      <c r="F32" s="80">
        <f ca="1">Acquirer!D35</f>
        <v>210.06613899417633</v>
      </c>
      <c r="G32" s="80">
        <f ca="1">Acquirer!E35</f>
        <v>221.73936578951509</v>
      </c>
      <c r="H32" s="80">
        <f ca="1">Acquirer!F35</f>
        <v>232.1264328757716</v>
      </c>
      <c r="I32" s="80">
        <f ca="1">Acquirer!G35</f>
        <v>241.70666199418162</v>
      </c>
      <c r="J32" s="80">
        <f ca="1">Acquirer!H35</f>
        <v>251.5507401976848</v>
      </c>
    </row>
    <row r="33" spans="1:10" ht="15" customHeight="1" x14ac:dyDescent="0.25">
      <c r="A33" s="62" t="s">
        <v>84</v>
      </c>
      <c r="B33" s="91">
        <v>0</v>
      </c>
      <c r="C33" s="91">
        <v>0</v>
      </c>
      <c r="D33" s="135"/>
      <c r="E33" s="135"/>
      <c r="F33" s="80">
        <f ca="1">Target!D35</f>
        <v>0</v>
      </c>
      <c r="G33" s="80">
        <f ca="1">Target!E35</f>
        <v>0</v>
      </c>
      <c r="H33" s="80">
        <f ca="1">Target!F35</f>
        <v>0</v>
      </c>
      <c r="I33" s="80">
        <f ca="1">Target!G35</f>
        <v>0</v>
      </c>
      <c r="J33" s="80">
        <f ca="1">Target!H35</f>
        <v>0</v>
      </c>
    </row>
    <row r="34" spans="1:10" ht="15" customHeight="1" x14ac:dyDescent="0.25">
      <c r="A34" s="86" t="s">
        <v>74</v>
      </c>
      <c r="B34" s="87">
        <f>SUM(B32:B33)</f>
        <v>189</v>
      </c>
      <c r="C34" s="87">
        <f ca="1">SUM(C32:C33)</f>
        <v>197.19274713550408</v>
      </c>
      <c r="D34" s="130"/>
      <c r="E34" s="130"/>
      <c r="F34" s="87">
        <f ca="1">SUM(F32:F33)</f>
        <v>210.06613899417633</v>
      </c>
      <c r="G34" s="87">
        <f ca="1">SUM(G32:G33)</f>
        <v>221.73936578951509</v>
      </c>
      <c r="H34" s="87">
        <f ca="1">SUM(H32:H33)</f>
        <v>232.1264328757716</v>
      </c>
      <c r="I34" s="87">
        <f ca="1">SUM(I32:I33)</f>
        <v>241.70666199418162</v>
      </c>
      <c r="J34" s="87">
        <f ca="1">SUM(J32:J33)</f>
        <v>251.5507401976848</v>
      </c>
    </row>
    <row r="35" spans="1:10" ht="15" customHeight="1" x14ac:dyDescent="0.25">
      <c r="A35" s="62" t="s">
        <v>62</v>
      </c>
      <c r="B35" s="80">
        <f>Acquirer!B36</f>
        <v>-371</v>
      </c>
      <c r="C35" s="80">
        <f ca="1">Acquirer!C36</f>
        <v>-402.0076809658409</v>
      </c>
      <c r="D35" s="124"/>
      <c r="E35" s="124"/>
      <c r="F35" s="80">
        <f ca="1">Acquirer!D36</f>
        <v>-428.2520661293234</v>
      </c>
      <c r="G35" s="80">
        <f ca="1">Acquirer!E36</f>
        <v>-452.04973060507496</v>
      </c>
      <c r="H35" s="80">
        <f ca="1">Acquirer!F36</f>
        <v>-473.22536110893532</v>
      </c>
      <c r="I35" s="80">
        <f ca="1">Acquirer!G36</f>
        <v>-492.75612857862791</v>
      </c>
      <c r="J35" s="80">
        <f ca="1">Acquirer!H36</f>
        <v>-512.82479290489403</v>
      </c>
    </row>
    <row r="36" spans="1:10" ht="15" customHeight="1" x14ac:dyDescent="0.25">
      <c r="A36" s="62" t="s">
        <v>63</v>
      </c>
      <c r="B36" s="91">
        <v>0</v>
      </c>
      <c r="C36" s="91">
        <v>0</v>
      </c>
      <c r="D36" s="135"/>
      <c r="E36" s="135"/>
      <c r="F36" s="80">
        <f ca="1">Target!D36</f>
        <v>-38.718078215524052</v>
      </c>
      <c r="G36" s="80">
        <f ca="1">Target!E36</f>
        <v>-40.653475018661474</v>
      </c>
      <c r="H36" s="80">
        <f ca="1">Target!F36</f>
        <v>-41.617455738942205</v>
      </c>
      <c r="I36" s="80">
        <f ca="1">Target!G36</f>
        <v>-42.551433058095959</v>
      </c>
      <c r="J36" s="80">
        <f ca="1">Target!H36</f>
        <v>-43.436150954826076</v>
      </c>
    </row>
    <row r="37" spans="1:10" ht="15" customHeight="1" x14ac:dyDescent="0.25">
      <c r="A37" s="86" t="s">
        <v>44</v>
      </c>
      <c r="B37" s="87">
        <f t="shared" ref="B37:J37" si="2">SUM(B35:B36)</f>
        <v>-371</v>
      </c>
      <c r="C37" s="87">
        <f ca="1">SUM(C35:C36)</f>
        <v>-402.0076809658409</v>
      </c>
      <c r="D37" s="130"/>
      <c r="E37" s="130"/>
      <c r="F37" s="87">
        <f t="shared" ca="1" si="2"/>
        <v>-466.97014434484743</v>
      </c>
      <c r="G37" s="87">
        <f t="shared" ca="1" si="2"/>
        <v>-492.70320562373644</v>
      </c>
      <c r="H37" s="87">
        <f t="shared" ca="1" si="2"/>
        <v>-514.84281684787754</v>
      </c>
      <c r="I37" s="87">
        <f t="shared" ca="1" si="2"/>
        <v>-535.3075616367239</v>
      </c>
      <c r="J37" s="87">
        <f t="shared" ca="1" si="2"/>
        <v>-556.2609438597201</v>
      </c>
    </row>
    <row r="38" spans="1:10" ht="15" customHeight="1" x14ac:dyDescent="0.25">
      <c r="A38" s="74" t="s">
        <v>45</v>
      </c>
      <c r="B38" s="88">
        <f>B31+B34+B37</f>
        <v>4252</v>
      </c>
      <c r="C38" s="88">
        <f ca="1">C31+C34+C37</f>
        <v>4909.6763172714664</v>
      </c>
      <c r="D38" s="131"/>
      <c r="E38" s="131"/>
      <c r="F38" s="88">
        <f ca="1">F31+F34+F37</f>
        <v>6290.4222910421313</v>
      </c>
      <c r="G38" s="88">
        <f ca="1">G31+G34+G37</f>
        <v>7487.5796414104243</v>
      </c>
      <c r="H38" s="88">
        <f ca="1">H31+H34+H37</f>
        <v>7770.2492704555307</v>
      </c>
      <c r="I38" s="88">
        <f ca="1">I31+I34+I37</f>
        <v>8031.9601521813838</v>
      </c>
      <c r="J38" s="88">
        <f ca="1">J31+J34+J37</f>
        <v>8299.9202668099388</v>
      </c>
    </row>
    <row r="39" spans="1:10" ht="15" customHeight="1" x14ac:dyDescent="0.25">
      <c r="A39" s="74"/>
      <c r="B39" s="80"/>
      <c r="C39" s="80"/>
      <c r="D39" s="80"/>
      <c r="E39" s="80"/>
      <c r="F39" s="92"/>
      <c r="G39" s="92"/>
      <c r="H39" s="92"/>
      <c r="I39" s="92"/>
      <c r="J39" s="92"/>
    </row>
    <row r="40" spans="1:10" ht="15" customHeight="1" x14ac:dyDescent="0.25">
      <c r="A40" s="74" t="str">
        <f>Acquirer!A39</f>
        <v>Closing balance sheet</v>
      </c>
      <c r="B40" s="80"/>
      <c r="C40" s="80"/>
      <c r="D40" s="80"/>
      <c r="E40" s="80"/>
      <c r="F40" s="80"/>
      <c r="G40" s="80"/>
      <c r="H40" s="80"/>
      <c r="I40" s="80"/>
      <c r="J40" s="80"/>
    </row>
    <row r="41" spans="1:10" ht="15" customHeight="1" x14ac:dyDescent="0.25">
      <c r="A41" s="62" t="s">
        <v>176</v>
      </c>
      <c r="B41" s="80">
        <f>Acquirer!B40</f>
        <v>1110</v>
      </c>
      <c r="C41" s="80">
        <f ca="1">Acquirer!C40</f>
        <v>1307.1927471355041</v>
      </c>
      <c r="D41" s="80">
        <f ca="1">E41-C41</f>
        <v>0</v>
      </c>
      <c r="E41" s="80">
        <f ca="1">C41</f>
        <v>1307.1927471355041</v>
      </c>
      <c r="F41" s="80">
        <f ca="1">Acquirer!D40</f>
        <v>1517.2588861296804</v>
      </c>
      <c r="G41" s="80">
        <f ca="1">Acquirer!E40</f>
        <v>1738.9982519191954</v>
      </c>
      <c r="H41" s="80">
        <f ca="1">Acquirer!F40</f>
        <v>1971.1246847949669</v>
      </c>
      <c r="I41" s="80">
        <f ca="1">Acquirer!G40</f>
        <v>2212.8313467891485</v>
      </c>
      <c r="J41" s="80">
        <f ca="1">Acquirer!H40</f>
        <v>2464.3820869868332</v>
      </c>
    </row>
    <row r="42" spans="1:10" ht="15" customHeight="1" x14ac:dyDescent="0.25">
      <c r="A42" s="62" t="s">
        <v>94</v>
      </c>
      <c r="B42" s="91">
        <v>0</v>
      </c>
      <c r="C42" s="91">
        <v>0</v>
      </c>
      <c r="D42" s="80">
        <f ca="1">E42-C42</f>
        <v>350</v>
      </c>
      <c r="E42" s="80">
        <f ca="1">Target!C40</f>
        <v>350</v>
      </c>
      <c r="F42" s="80">
        <f ca="1">Target!D40</f>
        <v>350</v>
      </c>
      <c r="G42" s="80">
        <f ca="1">Target!E40</f>
        <v>350</v>
      </c>
      <c r="H42" s="80">
        <f ca="1">Target!F40</f>
        <v>350</v>
      </c>
      <c r="I42" s="80">
        <f ca="1">Target!G40</f>
        <v>350</v>
      </c>
      <c r="J42" s="80">
        <f ca="1">Target!H40</f>
        <v>350</v>
      </c>
    </row>
    <row r="43" spans="1:10" ht="15" customHeight="1" x14ac:dyDescent="0.25">
      <c r="A43" s="86" t="s">
        <v>76</v>
      </c>
      <c r="B43" s="87">
        <f t="shared" ref="B43:J43" si="3">SUM(B41:B42)</f>
        <v>1110</v>
      </c>
      <c r="C43" s="87">
        <f t="shared" ca="1" si="3"/>
        <v>1307.1927471355041</v>
      </c>
      <c r="D43" s="87">
        <f t="shared" ca="1" si="3"/>
        <v>350</v>
      </c>
      <c r="E43" s="87">
        <f t="shared" ca="1" si="3"/>
        <v>1657.1927471355041</v>
      </c>
      <c r="F43" s="87">
        <f t="shared" ca="1" si="3"/>
        <v>1867.2588861296804</v>
      </c>
      <c r="G43" s="87">
        <f t="shared" ca="1" si="3"/>
        <v>2088.9982519191954</v>
      </c>
      <c r="H43" s="87">
        <f t="shared" ca="1" si="3"/>
        <v>2321.1246847949669</v>
      </c>
      <c r="I43" s="87">
        <f t="shared" ca="1" si="3"/>
        <v>2562.8313467891485</v>
      </c>
      <c r="J43" s="87">
        <f t="shared" ca="1" si="3"/>
        <v>2814.3820869868332</v>
      </c>
    </row>
    <row r="44" spans="1:10" ht="15" customHeight="1" x14ac:dyDescent="0.25">
      <c r="A44" s="62" t="s">
        <v>39</v>
      </c>
      <c r="B44" s="80">
        <f>Acquirer!B41</f>
        <v>14896</v>
      </c>
      <c r="C44" s="80">
        <f>Acquirer!C41</f>
        <v>14896</v>
      </c>
      <c r="D44" s="80">
        <f ca="1">E44-C44</f>
        <v>28199.476196179196</v>
      </c>
      <c r="E44" s="80">
        <f ca="1">Acquisition!B27</f>
        <v>43095.476196179196</v>
      </c>
      <c r="F44" s="80">
        <f ca="1">E44</f>
        <v>43095.476196179196</v>
      </c>
      <c r="G44" s="80">
        <f ca="1">F44</f>
        <v>43095.476196179196</v>
      </c>
      <c r="H44" s="80">
        <f ca="1">G44</f>
        <v>43095.476196179196</v>
      </c>
      <c r="I44" s="80">
        <f ca="1">H44</f>
        <v>43095.476196179196</v>
      </c>
      <c r="J44" s="80">
        <f ca="1">I44</f>
        <v>43095.476196179196</v>
      </c>
    </row>
    <row r="45" spans="1:10" ht="15" customHeight="1" x14ac:dyDescent="0.25">
      <c r="A45" s="62" t="s">
        <v>177</v>
      </c>
      <c r="B45" s="80">
        <f>Acquirer!B42</f>
        <v>15791</v>
      </c>
      <c r="C45" s="80">
        <f>Acquirer!C42</f>
        <v>16580.55</v>
      </c>
      <c r="D45" s="80">
        <f>E45-C45</f>
        <v>0</v>
      </c>
      <c r="E45" s="80">
        <f>C45</f>
        <v>16580.55</v>
      </c>
      <c r="F45" s="80">
        <f>Acquirer!D42</f>
        <v>17409.577499999999</v>
      </c>
      <c r="G45" s="80">
        <f>Acquirer!E42</f>
        <v>18193.008487499999</v>
      </c>
      <c r="H45" s="80">
        <f>Acquirer!F42</f>
        <v>18920.728827000003</v>
      </c>
      <c r="I45" s="80">
        <f>Acquirer!G42</f>
        <v>19582.954335945</v>
      </c>
      <c r="J45" s="80">
        <f>Acquirer!H42</f>
        <v>20268.357737703074</v>
      </c>
    </row>
    <row r="46" spans="1:10" ht="15" customHeight="1" x14ac:dyDescent="0.25">
      <c r="A46" s="62" t="s">
        <v>103</v>
      </c>
      <c r="B46" s="91">
        <v>0</v>
      </c>
      <c r="C46" s="91">
        <v>0</v>
      </c>
      <c r="D46" s="80">
        <f>E46-C46</f>
        <v>4654.0416172400155</v>
      </c>
      <c r="E46" s="80">
        <f>Target!C42</f>
        <v>4654.0416172400155</v>
      </c>
      <c r="F46" s="80">
        <f>Target!D42</f>
        <v>5176.1339049399103</v>
      </c>
      <c r="G46" s="80">
        <f>Target!E42</f>
        <v>5593.0198265960662</v>
      </c>
      <c r="H46" s="80">
        <f>Target!F42</f>
        <v>6043.5415240884795</v>
      </c>
      <c r="I46" s="80">
        <f>Target!G42</f>
        <v>6530.8220784963196</v>
      </c>
      <c r="J46" s="80">
        <f>Target!H42</f>
        <v>7058.3799975167667</v>
      </c>
    </row>
    <row r="47" spans="1:10" ht="15" customHeight="1" x14ac:dyDescent="0.25">
      <c r="A47" s="86" t="s">
        <v>95</v>
      </c>
      <c r="B47" s="87">
        <f t="shared" ref="B47:J47" si="4">SUM(B45:B46)</f>
        <v>15791</v>
      </c>
      <c r="C47" s="87">
        <f t="shared" si="4"/>
        <v>16580.55</v>
      </c>
      <c r="D47" s="87">
        <f t="shared" si="4"/>
        <v>4654.0416172400155</v>
      </c>
      <c r="E47" s="87">
        <f>SUM(E45:E46)</f>
        <v>21234.591617240014</v>
      </c>
      <c r="F47" s="87">
        <f>SUM(F45:F46)</f>
        <v>22585.71140493991</v>
      </c>
      <c r="G47" s="87">
        <f t="shared" si="4"/>
        <v>23786.028314096067</v>
      </c>
      <c r="H47" s="87">
        <f t="shared" si="4"/>
        <v>24964.270351088482</v>
      </c>
      <c r="I47" s="87">
        <f t="shared" si="4"/>
        <v>26113.77641444132</v>
      </c>
      <c r="J47" s="87">
        <f t="shared" si="4"/>
        <v>27326.737735219842</v>
      </c>
    </row>
    <row r="48" spans="1:10" ht="15" customHeight="1" x14ac:dyDescent="0.25">
      <c r="A48" s="74" t="s">
        <v>51</v>
      </c>
      <c r="B48" s="88">
        <f>B43+B44+B47</f>
        <v>31797</v>
      </c>
      <c r="C48" s="88">
        <f ca="1">C43+C44+C47</f>
        <v>32783.742747135504</v>
      </c>
      <c r="D48" s="88">
        <f t="shared" ref="D48:J48" ca="1" si="5">D43+D44+D47</f>
        <v>33203.51781341921</v>
      </c>
      <c r="E48" s="88">
        <f ca="1">E43+E44+E47</f>
        <v>65987.260560554714</v>
      </c>
      <c r="F48" s="88">
        <f t="shared" ca="1" si="5"/>
        <v>67548.446487248788</v>
      </c>
      <c r="G48" s="88">
        <f t="shared" ca="1" si="5"/>
        <v>68970.502762194461</v>
      </c>
      <c r="H48" s="88">
        <f t="shared" ca="1" si="5"/>
        <v>70380.871232062636</v>
      </c>
      <c r="I48" s="88">
        <f t="shared" ca="1" si="5"/>
        <v>71772.083957409661</v>
      </c>
      <c r="J48" s="88">
        <f t="shared" ca="1" si="5"/>
        <v>73236.59601838587</v>
      </c>
    </row>
    <row r="49" spans="1:13" ht="15" customHeight="1" x14ac:dyDescent="0.25">
      <c r="A49" s="62" t="s">
        <v>64</v>
      </c>
      <c r="B49" s="80">
        <f>Acquirer!B44</f>
        <v>-2735</v>
      </c>
      <c r="C49" s="80">
        <f>Acquirer!C44</f>
        <v>-2871.75</v>
      </c>
      <c r="D49" s="80">
        <f>E49-C49</f>
        <v>0</v>
      </c>
      <c r="E49" s="80">
        <f>C49</f>
        <v>-2871.75</v>
      </c>
      <c r="F49" s="80">
        <f>Acquirer!D44</f>
        <v>-3015.3375000000001</v>
      </c>
      <c r="G49" s="80">
        <f>Acquirer!E44</f>
        <v>-3151.0276875</v>
      </c>
      <c r="H49" s="80">
        <f>Acquirer!F44</f>
        <v>-3277.0687950000001</v>
      </c>
      <c r="I49" s="80">
        <f>Acquirer!G44</f>
        <v>-3391.7662028249997</v>
      </c>
      <c r="J49" s="80">
        <f>Acquirer!H44</f>
        <v>-3510.4780199238749</v>
      </c>
    </row>
    <row r="50" spans="1:13" ht="15" customHeight="1" x14ac:dyDescent="0.25">
      <c r="A50" s="62" t="s">
        <v>65</v>
      </c>
      <c r="B50" s="91">
        <v>0</v>
      </c>
      <c r="C50" s="91">
        <v>0</v>
      </c>
      <c r="D50" s="80">
        <f>E50-C50</f>
        <v>237.3</v>
      </c>
      <c r="E50" s="80">
        <f>Target!C44</f>
        <v>237.3</v>
      </c>
      <c r="F50" s="80">
        <f>Target!D44</f>
        <v>248.92769999999999</v>
      </c>
      <c r="G50" s="80">
        <f>Target!E44</f>
        <v>260.87622959999999</v>
      </c>
      <c r="H50" s="80">
        <f>Target!F44</f>
        <v>273.13741239119992</v>
      </c>
      <c r="I50" s="80">
        <f>Target!G44</f>
        <v>285.70173336119512</v>
      </c>
      <c r="J50" s="80">
        <f>Target!H44</f>
        <v>298.55831136244893</v>
      </c>
    </row>
    <row r="51" spans="1:13" ht="15" customHeight="1" x14ac:dyDescent="0.25">
      <c r="A51" s="86" t="str">
        <f>Acquirer!A44</f>
        <v>Non-cash working capital</v>
      </c>
      <c r="B51" s="87">
        <f>SUM(B49:B50)</f>
        <v>-2735</v>
      </c>
      <c r="C51" s="87">
        <f>SUM(C49:C50)</f>
        <v>-2871.75</v>
      </c>
      <c r="D51" s="87">
        <f>SUM(D49:D50)</f>
        <v>237.3</v>
      </c>
      <c r="E51" s="87">
        <f t="shared" ref="E51:J51" si="6">SUM(E49:E50)</f>
        <v>-2634.45</v>
      </c>
      <c r="F51" s="87">
        <f t="shared" si="6"/>
        <v>-2766.4097999999999</v>
      </c>
      <c r="G51" s="87">
        <f t="shared" si="6"/>
        <v>-2890.1514579</v>
      </c>
      <c r="H51" s="87">
        <f t="shared" si="6"/>
        <v>-3003.9313826088</v>
      </c>
      <c r="I51" s="87">
        <f t="shared" si="6"/>
        <v>-3106.0644694638045</v>
      </c>
      <c r="J51" s="87">
        <f t="shared" si="6"/>
        <v>-3211.919708561426</v>
      </c>
    </row>
    <row r="52" spans="1:13" ht="15" customHeight="1" x14ac:dyDescent="0.25">
      <c r="A52" s="74" t="str">
        <f>Acquirer!A45</f>
        <v>Capital employed</v>
      </c>
      <c r="B52" s="88">
        <f t="shared" ref="B52:J52" si="7">B48+B51</f>
        <v>29062</v>
      </c>
      <c r="C52" s="88">
        <f t="shared" ca="1" si="7"/>
        <v>29911.992747135504</v>
      </c>
      <c r="D52" s="88">
        <f t="shared" ca="1" si="7"/>
        <v>33440.817813419213</v>
      </c>
      <c r="E52" s="88">
        <f ca="1">E48+E51</f>
        <v>63352.810560554717</v>
      </c>
      <c r="F52" s="88">
        <f t="shared" ca="1" si="7"/>
        <v>64782.036687248787</v>
      </c>
      <c r="G52" s="88">
        <f t="shared" ca="1" si="7"/>
        <v>66080.351304294454</v>
      </c>
      <c r="H52" s="88">
        <f t="shared" ca="1" si="7"/>
        <v>67376.939849453833</v>
      </c>
      <c r="I52" s="88">
        <f t="shared" ca="1" si="7"/>
        <v>68666.019487945858</v>
      </c>
      <c r="J52" s="88">
        <f t="shared" ca="1" si="7"/>
        <v>70024.676309824441</v>
      </c>
    </row>
    <row r="53" spans="1:13" ht="15" customHeight="1" x14ac:dyDescent="0.25">
      <c r="B53" s="80"/>
      <c r="C53" s="80"/>
      <c r="D53" s="80"/>
      <c r="E53" s="80"/>
      <c r="F53" s="80"/>
      <c r="G53" s="80"/>
      <c r="H53" s="80"/>
      <c r="I53" s="80"/>
      <c r="J53" s="80"/>
      <c r="M53" s="93"/>
    </row>
    <row r="54" spans="1:13" ht="15" customHeight="1" x14ac:dyDescent="0.25">
      <c r="A54" s="62" t="s">
        <v>18</v>
      </c>
      <c r="B54" s="80">
        <f>Acquirer!B47</f>
        <v>8781</v>
      </c>
      <c r="C54" s="80">
        <f ca="1">Acquirer!C47</f>
        <v>6804.7083738981964</v>
      </c>
      <c r="D54" s="80">
        <f ca="1">E54-C54</f>
        <v>13073.944153721128</v>
      </c>
      <c r="E54" s="80">
        <f ca="1">Acquisition!B29</f>
        <v>19878.652527619324</v>
      </c>
      <c r="F54" s="80">
        <f ca="1">E54-Consolidation!F90</f>
        <v>17663.54001563651</v>
      </c>
      <c r="G54" s="80">
        <f ca="1">F54-G90</f>
        <v>16500.652857604189</v>
      </c>
      <c r="H54" s="80">
        <f ca="1">G54-H90</f>
        <v>15077.17180288061</v>
      </c>
      <c r="I54" s="80">
        <f ca="1">H54-I90</f>
        <v>13889.297081779303</v>
      </c>
      <c r="J54" s="80">
        <f ca="1">I54-J90</f>
        <v>12503.35689247146</v>
      </c>
    </row>
    <row r="55" spans="1:13" ht="15" customHeight="1" x14ac:dyDescent="0.25">
      <c r="A55" s="62" t="s">
        <v>178</v>
      </c>
      <c r="B55" s="80">
        <f>+Acquirer!B48</f>
        <v>4206</v>
      </c>
      <c r="C55" s="80">
        <f>+Acquirer!C48</f>
        <v>4286.8332</v>
      </c>
      <c r="D55" s="80">
        <f>E55-C55</f>
        <v>0</v>
      </c>
      <c r="E55" s="80">
        <f>C55</f>
        <v>4286.8332</v>
      </c>
      <c r="F55" s="80">
        <f>Acquirer!D48</f>
        <v>4371.7080599999999</v>
      </c>
      <c r="G55" s="80">
        <f>Acquirer!E48</f>
        <v>4460.4022887000001</v>
      </c>
      <c r="H55" s="80">
        <f>Acquirer!F48</f>
        <v>4552.6442865480003</v>
      </c>
      <c r="I55" s="80">
        <f>Acquirer!G48</f>
        <v>4648.1147543206807</v>
      </c>
      <c r="J55" s="80">
        <f>Acquirer!H48</f>
        <v>4746.9266884654044</v>
      </c>
    </row>
    <row r="56" spans="1:13" ht="15" customHeight="1" x14ac:dyDescent="0.25">
      <c r="A56" s="62" t="s">
        <v>87</v>
      </c>
      <c r="B56" s="91">
        <v>0</v>
      </c>
      <c r="C56" s="91">
        <v>0</v>
      </c>
      <c r="D56" s="80">
        <f>E56-C56</f>
        <v>1011.9274625</v>
      </c>
      <c r="E56" s="80">
        <f>Target!C48</f>
        <v>1011.9274625</v>
      </c>
      <c r="F56" s="80">
        <f>Target!D48</f>
        <v>1026.5373706625001</v>
      </c>
      <c r="G56" s="80">
        <f>Target!E48</f>
        <v>1041.8485544168</v>
      </c>
      <c r="H56" s="80">
        <f>Target!F48</f>
        <v>1057.879363807552</v>
      </c>
      <c r="I56" s="80">
        <f>Target!G48</f>
        <v>1074.6475904302786</v>
      </c>
      <c r="J56" s="80">
        <f>Target!H48</f>
        <v>1092.1703872510279</v>
      </c>
    </row>
    <row r="57" spans="1:13" ht="15" customHeight="1" x14ac:dyDescent="0.25">
      <c r="A57" s="86" t="s">
        <v>78</v>
      </c>
      <c r="B57" s="87">
        <f t="shared" ref="B57:J57" si="8">SUM(B55:B56)</f>
        <v>4206</v>
      </c>
      <c r="C57" s="87">
        <f t="shared" si="8"/>
        <v>4286.8332</v>
      </c>
      <c r="D57" s="87">
        <f t="shared" si="8"/>
        <v>1011.9274625</v>
      </c>
      <c r="E57" s="87">
        <f t="shared" si="8"/>
        <v>5298.7606624999999</v>
      </c>
      <c r="F57" s="87">
        <f t="shared" si="8"/>
        <v>5398.2454306625004</v>
      </c>
      <c r="G57" s="87">
        <f t="shared" si="8"/>
        <v>5502.2508431167998</v>
      </c>
      <c r="H57" s="87">
        <f t="shared" si="8"/>
        <v>5610.5236503555525</v>
      </c>
      <c r="I57" s="87">
        <f t="shared" si="8"/>
        <v>5722.7623447509595</v>
      </c>
      <c r="J57" s="87">
        <f t="shared" si="8"/>
        <v>5839.0970757164323</v>
      </c>
    </row>
    <row r="58" spans="1:13" ht="15" customHeight="1" x14ac:dyDescent="0.25">
      <c r="A58" s="62" t="s">
        <v>179</v>
      </c>
      <c r="B58" s="80">
        <f>+Acquirer!B49</f>
        <v>1154</v>
      </c>
      <c r="C58" s="80">
        <f>+Acquirer!C49</f>
        <v>1178.3951750000001</v>
      </c>
      <c r="D58" s="80">
        <f>E58-C58</f>
        <v>0</v>
      </c>
      <c r="E58" s="80">
        <f>C58</f>
        <v>1178.3951750000001</v>
      </c>
      <c r="F58" s="80">
        <f>+Acquirer!D49</f>
        <v>1204.0101087500002</v>
      </c>
      <c r="G58" s="80">
        <f>+Acquirer!E49</f>
        <v>1230.7777145187501</v>
      </c>
      <c r="H58" s="80">
        <f>+Acquirer!F49</f>
        <v>1258.6160245182502</v>
      </c>
      <c r="I58" s="80">
        <f>+Acquirer!G49</f>
        <v>1287.4286753677327</v>
      </c>
      <c r="J58" s="80">
        <f>+Acquirer!H49</f>
        <v>1317.2497689969471</v>
      </c>
    </row>
    <row r="59" spans="1:13" ht="15" customHeight="1" x14ac:dyDescent="0.25">
      <c r="A59" s="62" t="s">
        <v>89</v>
      </c>
      <c r="B59" s="91">
        <v>0</v>
      </c>
      <c r="C59" s="91">
        <v>0</v>
      </c>
      <c r="D59" s="80">
        <f>E59-C59</f>
        <v>534.19262500000002</v>
      </c>
      <c r="E59" s="80">
        <f>+Target!C49</f>
        <v>534.19262500000002</v>
      </c>
      <c r="F59" s="80">
        <f>+Target!D49</f>
        <v>542.78668862500001</v>
      </c>
      <c r="G59" s="80">
        <f>+Target!E49</f>
        <v>551.79326730399998</v>
      </c>
      <c r="H59" s="80">
        <f>+Target!F49</f>
        <v>561.22315518091295</v>
      </c>
      <c r="I59" s="80">
        <f>+Target!G49</f>
        <v>571.08681790016396</v>
      </c>
      <c r="J59" s="80">
        <f>+Target!H49</f>
        <v>581.3943454417813</v>
      </c>
    </row>
    <row r="60" spans="1:13" ht="15" customHeight="1" x14ac:dyDescent="0.25">
      <c r="A60" s="86" t="s">
        <v>99</v>
      </c>
      <c r="B60" s="87">
        <f t="shared" ref="B60:J60" si="9">SUM(B58:B59)</f>
        <v>1154</v>
      </c>
      <c r="C60" s="87">
        <f>SUM(C58:C59)</f>
        <v>1178.3951750000001</v>
      </c>
      <c r="D60" s="87">
        <f>SUM(D58:D59)</f>
        <v>534.19262500000002</v>
      </c>
      <c r="E60" s="87">
        <f>SUM(E58:E59)</f>
        <v>1712.5878000000002</v>
      </c>
      <c r="F60" s="87">
        <f>SUM(F58:F59)</f>
        <v>1746.7967973750001</v>
      </c>
      <c r="G60" s="87">
        <f t="shared" si="9"/>
        <v>1782.5709818227501</v>
      </c>
      <c r="H60" s="87">
        <f t="shared" si="9"/>
        <v>1819.8391796991632</v>
      </c>
      <c r="I60" s="87">
        <f t="shared" si="9"/>
        <v>1858.5154932678965</v>
      </c>
      <c r="J60" s="87">
        <f t="shared" si="9"/>
        <v>1898.6441144387284</v>
      </c>
    </row>
    <row r="61" spans="1:13" ht="15" customHeight="1" x14ac:dyDescent="0.25">
      <c r="A61" s="62" t="s">
        <v>62</v>
      </c>
      <c r="B61" s="83">
        <f>Acquirer!B50</f>
        <v>628</v>
      </c>
      <c r="C61" s="83">
        <f ca="1">Acquirer!C50</f>
        <v>1030.0076809658408</v>
      </c>
      <c r="D61" s="83">
        <f ca="1">E61-C61</f>
        <v>0</v>
      </c>
      <c r="E61" s="83">
        <f ca="1">C61</f>
        <v>1030.0076809658408</v>
      </c>
      <c r="F61" s="83">
        <f ca="1">Acquirer!D50</f>
        <v>1458.2597470951641</v>
      </c>
      <c r="G61" s="83">
        <f ca="1">Acquirer!E50</f>
        <v>1910.3094777002391</v>
      </c>
      <c r="H61" s="83">
        <f ca="1">Acquirer!F50</f>
        <v>2383.5348388091743</v>
      </c>
      <c r="I61" s="83">
        <f ca="1">Acquirer!G50</f>
        <v>2876.2909673878021</v>
      </c>
      <c r="J61" s="83">
        <f ca="1">Acquirer!H50</f>
        <v>3389.115760292696</v>
      </c>
    </row>
    <row r="62" spans="1:13" ht="15" customHeight="1" x14ac:dyDescent="0.25">
      <c r="A62" s="62" t="s">
        <v>63</v>
      </c>
      <c r="B62" s="94">
        <v>0</v>
      </c>
      <c r="C62" s="94">
        <v>0</v>
      </c>
      <c r="D62" s="83">
        <f ca="1">E62-C62</f>
        <v>157.00472000287908</v>
      </c>
      <c r="E62" s="83">
        <f ca="1">Target!C50</f>
        <v>157.00472000287908</v>
      </c>
      <c r="F62" s="83">
        <f ca="1">Target!D50</f>
        <v>195.72279821840314</v>
      </c>
      <c r="G62" s="83">
        <f ca="1">Target!E50</f>
        <v>236.37627323706462</v>
      </c>
      <c r="H62" s="83">
        <f ca="1">Target!F50</f>
        <v>277.99372897600682</v>
      </c>
      <c r="I62" s="83">
        <f ca="1">Target!G50</f>
        <v>320.54516203410276</v>
      </c>
      <c r="J62" s="83">
        <f ca="1">Target!H50</f>
        <v>363.98131298892883</v>
      </c>
    </row>
    <row r="63" spans="1:13" ht="15" customHeight="1" x14ac:dyDescent="0.25">
      <c r="A63" s="86" t="s">
        <v>44</v>
      </c>
      <c r="B63" s="87">
        <f t="shared" ref="B63:J63" si="10">SUM(B61:B62)</f>
        <v>628</v>
      </c>
      <c r="C63" s="87">
        <f ca="1">SUM(C61:C62)</f>
        <v>1030.0076809658408</v>
      </c>
      <c r="D63" s="87">
        <f ca="1">SUM(D61:D62)</f>
        <v>157.00472000287908</v>
      </c>
      <c r="E63" s="87">
        <f ca="1">E61+E62</f>
        <v>1187.0124009687199</v>
      </c>
      <c r="F63" s="87">
        <f ca="1">SUM(F61:F62)</f>
        <v>1653.9825453135672</v>
      </c>
      <c r="G63" s="87">
        <f t="shared" ca="1" si="10"/>
        <v>2146.6857509373035</v>
      </c>
      <c r="H63" s="87">
        <f t="shared" ca="1" si="10"/>
        <v>2661.5285677851812</v>
      </c>
      <c r="I63" s="87">
        <f t="shared" ca="1" si="10"/>
        <v>3196.8361294219048</v>
      </c>
      <c r="J63" s="87">
        <f t="shared" ca="1" si="10"/>
        <v>3753.0970732816249</v>
      </c>
    </row>
    <row r="64" spans="1:13" ht="15" customHeight="1" x14ac:dyDescent="0.25">
      <c r="A64" s="89" t="str">
        <f>Acquirer!A51</f>
        <v>Shareholders' funds</v>
      </c>
      <c r="B64" s="83">
        <f>Acquirer!B51</f>
        <v>14293</v>
      </c>
      <c r="C64" s="83">
        <f ca="1">Acquirer!C51</f>
        <v>16612.048317271463</v>
      </c>
      <c r="D64" s="83">
        <f ca="1">E64-C64</f>
        <v>18663.7488521952</v>
      </c>
      <c r="E64" s="83">
        <f ca="1">Acquisition!B30</f>
        <v>35275.797169466663</v>
      </c>
      <c r="F64" s="83">
        <f ca="1">E64+F38+F89</f>
        <v>38319.471898261196</v>
      </c>
      <c r="G64" s="83">
        <f ca="1">F64+G38+G89</f>
        <v>40148.1908708134</v>
      </c>
      <c r="H64" s="83">
        <f ca="1">G64+H38+H89</f>
        <v>42207.876648733327</v>
      </c>
      <c r="I64" s="83">
        <f ca="1">H64+I38+I89</f>
        <v>43998.60843872578</v>
      </c>
      <c r="J64" s="83">
        <f ca="1">I64+J38+J89</f>
        <v>46030.481153916175</v>
      </c>
    </row>
    <row r="65" spans="1:10" ht="15" customHeight="1" x14ac:dyDescent="0.25">
      <c r="A65" s="74" t="str">
        <f>Acquirer!A52</f>
        <v>Capital employed</v>
      </c>
      <c r="B65" s="88">
        <f t="shared" ref="B65:J65" si="11">B54+B57+B60+B63+B64</f>
        <v>29062</v>
      </c>
      <c r="C65" s="88">
        <f t="shared" ca="1" si="11"/>
        <v>29911.9927471355</v>
      </c>
      <c r="D65" s="88">
        <f t="shared" ca="1" si="11"/>
        <v>33440.817813419206</v>
      </c>
      <c r="E65" s="88">
        <f t="shared" ca="1" si="11"/>
        <v>63352.81056055471</v>
      </c>
      <c r="F65" s="88">
        <f ca="1">F54+F57+F60+F63+F64</f>
        <v>64782.036687248779</v>
      </c>
      <c r="G65" s="88">
        <f t="shared" ca="1" si="11"/>
        <v>66080.35130429444</v>
      </c>
      <c r="H65" s="88">
        <f t="shared" ca="1" si="11"/>
        <v>67376.939849453833</v>
      </c>
      <c r="I65" s="88">
        <f t="shared" ca="1" si="11"/>
        <v>68666.019487945843</v>
      </c>
      <c r="J65" s="88">
        <f t="shared" ca="1" si="11"/>
        <v>70024.676309824426</v>
      </c>
    </row>
    <row r="66" spans="1:10" ht="15" customHeight="1" x14ac:dyDescent="0.25">
      <c r="A66" s="78" t="s">
        <v>7</v>
      </c>
      <c r="B66" s="79">
        <f t="shared" ref="B66:I66" si="12">B54/(B63+B64)</f>
        <v>0.5884994303330876</v>
      </c>
      <c r="C66" s="79">
        <f ca="1">C54/(C63+C64)</f>
        <v>0.38570948729434285</v>
      </c>
      <c r="D66" s="79"/>
      <c r="E66" s="79">
        <f t="shared" ca="1" si="12"/>
        <v>0.54517610578580444</v>
      </c>
      <c r="F66" s="79">
        <f t="shared" ca="1" si="12"/>
        <v>0.44188175031431898</v>
      </c>
      <c r="G66" s="79">
        <f t="shared" ca="1" si="12"/>
        <v>0.39013360897519467</v>
      </c>
      <c r="H66" s="79">
        <f t="shared" ca="1" si="12"/>
        <v>0.33602343802253043</v>
      </c>
      <c r="I66" s="79">
        <f t="shared" ca="1" si="12"/>
        <v>0.29429317191246929</v>
      </c>
      <c r="J66" s="79">
        <f ca="1">J54/(J63+J64)</f>
        <v>0.25115424277880888</v>
      </c>
    </row>
    <row r="67" spans="1:10" ht="15" customHeight="1" x14ac:dyDescent="0.25">
      <c r="A67" s="95" t="s">
        <v>46</v>
      </c>
      <c r="B67" s="146">
        <f t="shared" ref="B67:I67" si="13">B52-B65</f>
        <v>0</v>
      </c>
      <c r="C67" s="146">
        <f ca="1">C52-C65</f>
        <v>0</v>
      </c>
      <c r="D67" s="146"/>
      <c r="E67" s="146">
        <f ca="1">E52-E65</f>
        <v>0</v>
      </c>
      <c r="F67" s="146">
        <f ca="1">F52-F65</f>
        <v>0</v>
      </c>
      <c r="G67" s="146">
        <f t="shared" ca="1" si="13"/>
        <v>0</v>
      </c>
      <c r="H67" s="146">
        <f t="shared" ca="1" si="13"/>
        <v>0</v>
      </c>
      <c r="I67" s="146">
        <f t="shared" ca="1" si="13"/>
        <v>0</v>
      </c>
      <c r="J67" s="146">
        <f ca="1">J52-J65</f>
        <v>0</v>
      </c>
    </row>
    <row r="68" spans="1:10" ht="15" customHeight="1" x14ac:dyDescent="0.25">
      <c r="A68" s="74"/>
      <c r="B68" s="80"/>
      <c r="C68" s="80"/>
      <c r="D68" s="80"/>
      <c r="E68" s="80"/>
      <c r="F68" s="80"/>
      <c r="G68" s="80"/>
      <c r="H68" s="80"/>
      <c r="I68" s="80"/>
      <c r="J68" s="80"/>
    </row>
    <row r="69" spans="1:10" ht="15" customHeight="1" x14ac:dyDescent="0.25">
      <c r="A69" s="74" t="str">
        <f>Acquirer!A55</f>
        <v>Cash flow</v>
      </c>
      <c r="B69" s="80"/>
      <c r="C69" s="80"/>
      <c r="D69" s="80"/>
      <c r="E69" s="80"/>
      <c r="F69" s="92"/>
      <c r="G69" s="92"/>
      <c r="H69" s="92"/>
      <c r="I69" s="92"/>
      <c r="J69" s="92"/>
    </row>
    <row r="70" spans="1:10" ht="15" customHeight="1" x14ac:dyDescent="0.25">
      <c r="A70" s="62" t="str">
        <f>Acquirer!A56</f>
        <v>Attributable profit</v>
      </c>
      <c r="B70" s="124"/>
      <c r="C70" s="80">
        <f ca="1">C38</f>
        <v>4909.6763172714664</v>
      </c>
      <c r="D70" s="124"/>
      <c r="E70" s="124"/>
      <c r="F70" s="80">
        <f ca="1">F38</f>
        <v>6290.4222910421313</v>
      </c>
      <c r="G70" s="80">
        <f ca="1">G38</f>
        <v>7487.5796414104243</v>
      </c>
      <c r="H70" s="80">
        <f ca="1">H38</f>
        <v>7770.2492704555307</v>
      </c>
      <c r="I70" s="80">
        <f ca="1">I38</f>
        <v>8031.9601521813838</v>
      </c>
      <c r="J70" s="80">
        <f ca="1">J38</f>
        <v>8299.9202668099388</v>
      </c>
    </row>
    <row r="71" spans="1:10" ht="15" customHeight="1" x14ac:dyDescent="0.25">
      <c r="A71" s="62" t="s">
        <v>44</v>
      </c>
      <c r="B71" s="124"/>
      <c r="C71" s="80">
        <f ca="1">-C37</f>
        <v>402.0076809658409</v>
      </c>
      <c r="D71" s="124"/>
      <c r="E71" s="124"/>
      <c r="F71" s="80">
        <f ca="1">-F37</f>
        <v>466.97014434484743</v>
      </c>
      <c r="G71" s="80">
        <f ca="1">-G37</f>
        <v>492.70320562373644</v>
      </c>
      <c r="H71" s="80">
        <f ca="1">-H37</f>
        <v>514.84281684787754</v>
      </c>
      <c r="I71" s="80">
        <f ca="1">-I37</f>
        <v>535.3075616367239</v>
      </c>
      <c r="J71" s="80">
        <f ca="1">-J37</f>
        <v>556.2609438597201</v>
      </c>
    </row>
    <row r="72" spans="1:10" ht="15" customHeight="1" x14ac:dyDescent="0.25">
      <c r="A72" s="62" t="s">
        <v>160</v>
      </c>
      <c r="B72" s="124"/>
      <c r="C72" s="96">
        <f ca="1">-C34</f>
        <v>-197.19274713550408</v>
      </c>
      <c r="D72" s="124"/>
      <c r="E72" s="124"/>
      <c r="F72" s="96">
        <f ca="1">-F34</f>
        <v>-210.06613899417633</v>
      </c>
      <c r="G72" s="96">
        <f ca="1">-G34</f>
        <v>-221.73936578951509</v>
      </c>
      <c r="H72" s="96">
        <f ca="1">-H34</f>
        <v>-232.1264328757716</v>
      </c>
      <c r="I72" s="96">
        <f ca="1">-I34</f>
        <v>-241.70666199418162</v>
      </c>
      <c r="J72" s="96">
        <f ca="1">-J34</f>
        <v>-251.5507401976848</v>
      </c>
    </row>
    <row r="73" spans="1:10" ht="15" customHeight="1" x14ac:dyDescent="0.25">
      <c r="A73" s="62" t="s">
        <v>180</v>
      </c>
      <c r="B73" s="124"/>
      <c r="C73" s="80">
        <f>Acquirer!C59</f>
        <v>80.833200000000005</v>
      </c>
      <c r="D73" s="124"/>
      <c r="E73" s="124"/>
      <c r="F73" s="80">
        <f>Acquirer!D59</f>
        <v>84.874859999999998</v>
      </c>
      <c r="G73" s="80">
        <f>Acquirer!E59</f>
        <v>88.694228700000011</v>
      </c>
      <c r="H73" s="80">
        <f>Acquirer!F59</f>
        <v>92.241997847999997</v>
      </c>
      <c r="I73" s="80">
        <f>Acquirer!G59</f>
        <v>95.470467772679996</v>
      </c>
      <c r="J73" s="80">
        <f>Acquirer!H59</f>
        <v>98.811934144723793</v>
      </c>
    </row>
    <row r="74" spans="1:10" ht="15" customHeight="1" x14ac:dyDescent="0.25">
      <c r="A74" s="62" t="s">
        <v>90</v>
      </c>
      <c r="B74" s="136"/>
      <c r="C74" s="91">
        <v>0</v>
      </c>
      <c r="D74" s="135"/>
      <c r="E74" s="135"/>
      <c r="F74" s="80">
        <f>Target!D59</f>
        <v>14.609908162499998</v>
      </c>
      <c r="G74" s="80">
        <f>Target!E59</f>
        <v>15.311183754299996</v>
      </c>
      <c r="H74" s="80">
        <f>Target!F59</f>
        <v>16.030809390752093</v>
      </c>
      <c r="I74" s="80">
        <f>Target!G59</f>
        <v>16.768226622726694</v>
      </c>
      <c r="J74" s="80">
        <f>Target!H59</f>
        <v>17.522796820749395</v>
      </c>
    </row>
    <row r="75" spans="1:10" ht="15" customHeight="1" x14ac:dyDescent="0.25">
      <c r="A75" s="86" t="s">
        <v>79</v>
      </c>
      <c r="B75" s="130"/>
      <c r="C75" s="87">
        <f>SUM(C73:C74)</f>
        <v>80.833200000000005</v>
      </c>
      <c r="D75" s="130"/>
      <c r="E75" s="130"/>
      <c r="F75" s="87">
        <f>SUM(F73:F74)</f>
        <v>99.484768162499989</v>
      </c>
      <c r="G75" s="87">
        <f>SUM(G73:G74)</f>
        <v>104.0054124543</v>
      </c>
      <c r="H75" s="87">
        <f>SUM(H73:H74)</f>
        <v>108.27280723875209</v>
      </c>
      <c r="I75" s="87">
        <f>SUM(I73:I74)</f>
        <v>112.2386943954067</v>
      </c>
      <c r="J75" s="87">
        <f>SUM(J73:J74)</f>
        <v>116.33473096547318</v>
      </c>
    </row>
    <row r="76" spans="1:10" ht="15" customHeight="1" x14ac:dyDescent="0.25">
      <c r="A76" s="62" t="s">
        <v>91</v>
      </c>
      <c r="B76" s="124"/>
      <c r="C76" s="80">
        <f>+Acquirer!C60</f>
        <v>24.395174999999998</v>
      </c>
      <c r="D76" s="124"/>
      <c r="E76" s="124"/>
      <c r="F76" s="80">
        <f>+Acquirer!D60</f>
        <v>25.614933750000002</v>
      </c>
      <c r="G76" s="80">
        <f>+Acquirer!E60</f>
        <v>26.767605768750002</v>
      </c>
      <c r="H76" s="80">
        <f>+Acquirer!F60</f>
        <v>27.838309999500002</v>
      </c>
      <c r="I76" s="80">
        <f>+Acquirer!G60</f>
        <v>28.812650849482498</v>
      </c>
      <c r="J76" s="80">
        <f>+Acquirer!H60</f>
        <v>29.821093629214385</v>
      </c>
    </row>
    <row r="77" spans="1:10" ht="15" customHeight="1" x14ac:dyDescent="0.25">
      <c r="A77" s="62" t="s">
        <v>92</v>
      </c>
      <c r="B77" s="136"/>
      <c r="C77" s="91">
        <v>0</v>
      </c>
      <c r="D77" s="135"/>
      <c r="E77" s="135"/>
      <c r="F77" s="80">
        <f>+Target!D60</f>
        <v>8.5940636249999987</v>
      </c>
      <c r="G77" s="80">
        <f>+Target!E60</f>
        <v>9.0065786789999986</v>
      </c>
      <c r="H77" s="80">
        <f>+Target!F60</f>
        <v>9.4298878769129963</v>
      </c>
      <c r="I77" s="80">
        <f>+Target!G60</f>
        <v>9.8636627192509945</v>
      </c>
      <c r="J77" s="80">
        <f>+Target!H60</f>
        <v>10.30752754161729</v>
      </c>
    </row>
    <row r="78" spans="1:10" ht="15" customHeight="1" x14ac:dyDescent="0.25">
      <c r="A78" s="86" t="s">
        <v>80</v>
      </c>
      <c r="B78" s="130"/>
      <c r="C78" s="87">
        <f>SUM(C76:C77)</f>
        <v>24.395174999999998</v>
      </c>
      <c r="D78" s="130"/>
      <c r="E78" s="130"/>
      <c r="F78" s="87">
        <f>SUM(F76:F77)</f>
        <v>34.208997375000003</v>
      </c>
      <c r="G78" s="87">
        <f>SUM(G76:G77)</f>
        <v>35.774184447750002</v>
      </c>
      <c r="H78" s="87">
        <f>SUM(H76:H77)</f>
        <v>37.268197876412998</v>
      </c>
      <c r="I78" s="87">
        <f>SUM(I76:I77)</f>
        <v>38.676313568733491</v>
      </c>
      <c r="J78" s="87">
        <f>SUM(J76:J77)</f>
        <v>40.128621170831678</v>
      </c>
    </row>
    <row r="79" spans="1:10" ht="15" customHeight="1" x14ac:dyDescent="0.25">
      <c r="A79" s="89" t="s">
        <v>21</v>
      </c>
      <c r="B79" s="132"/>
      <c r="C79" s="83">
        <f>-C25</f>
        <v>1127.6999999999998</v>
      </c>
      <c r="D79" s="132"/>
      <c r="E79" s="132"/>
      <c r="F79" s="83">
        <f>-F25</f>
        <v>1758.1434701998321</v>
      </c>
      <c r="G79" s="83">
        <f>-G25</f>
        <v>1857.6619751422088</v>
      </c>
      <c r="H79" s="83">
        <f>-H25</f>
        <v>1957.1217795114371</v>
      </c>
      <c r="I79" s="83">
        <f>-I25</f>
        <v>2056.2037924460651</v>
      </c>
      <c r="J79" s="83">
        <f>-J25</f>
        <v>2161.3291692463017</v>
      </c>
    </row>
    <row r="80" spans="1:10" ht="15" customHeight="1" x14ac:dyDescent="0.25">
      <c r="A80" s="62" t="s">
        <v>181</v>
      </c>
      <c r="B80" s="124"/>
      <c r="C80" s="80">
        <f>Acquirer!C62</f>
        <v>136.75</v>
      </c>
      <c r="D80" s="124"/>
      <c r="E80" s="124"/>
      <c r="F80" s="80">
        <f>Acquirer!D62</f>
        <v>143.58750000000009</v>
      </c>
      <c r="G80" s="80">
        <f>Acquirer!E62</f>
        <v>135.69018749999987</v>
      </c>
      <c r="H80" s="80">
        <f>Acquirer!F62</f>
        <v>126.04110750000018</v>
      </c>
      <c r="I80" s="80">
        <f>Acquirer!G62</f>
        <v>114.69740782499957</v>
      </c>
      <c r="J80" s="80">
        <f>Acquirer!H62</f>
        <v>118.71181709887514</v>
      </c>
    </row>
    <row r="81" spans="1:10" ht="15" customHeight="1" x14ac:dyDescent="0.25">
      <c r="A81" s="62" t="s">
        <v>67</v>
      </c>
      <c r="B81" s="136"/>
      <c r="C81" s="91">
        <v>0</v>
      </c>
      <c r="D81" s="135"/>
      <c r="E81" s="135"/>
      <c r="F81" s="80">
        <f>Target!D62</f>
        <v>-11.627699999999976</v>
      </c>
      <c r="G81" s="80">
        <f>Target!E62</f>
        <v>-11.948529600000001</v>
      </c>
      <c r="H81" s="80">
        <f>Target!F62</f>
        <v>-12.261182791199928</v>
      </c>
      <c r="I81" s="80">
        <f>Target!G62</f>
        <v>-12.564320969995208</v>
      </c>
      <c r="J81" s="80">
        <f>Target!H62</f>
        <v>-12.856578001253808</v>
      </c>
    </row>
    <row r="82" spans="1:10" ht="15" customHeight="1" x14ac:dyDescent="0.25">
      <c r="A82" s="86" t="str">
        <f>Acquirer!A62</f>
        <v>Change in working capital</v>
      </c>
      <c r="B82" s="130"/>
      <c r="C82" s="87">
        <f>SUM(C80:C81)</f>
        <v>136.75</v>
      </c>
      <c r="D82" s="130"/>
      <c r="E82" s="130"/>
      <c r="F82" s="87">
        <f>SUM(F80:F81)</f>
        <v>131.95980000000012</v>
      </c>
      <c r="G82" s="87">
        <f>SUM(G80:G81)</f>
        <v>123.74165789999986</v>
      </c>
      <c r="H82" s="87">
        <f>SUM(H80:H81)</f>
        <v>113.77992470880025</v>
      </c>
      <c r="I82" s="87">
        <f>SUM(I80:I81)</f>
        <v>102.13308685500436</v>
      </c>
      <c r="J82" s="87">
        <f>SUM(J80:J81)</f>
        <v>105.85523909762134</v>
      </c>
    </row>
    <row r="83" spans="1:10" ht="15" customHeight="1" x14ac:dyDescent="0.25">
      <c r="A83" s="97" t="str">
        <f>Acquirer!A63</f>
        <v>Cash flow from operations</v>
      </c>
      <c r="B83" s="137"/>
      <c r="C83" s="98">
        <f ca="1">C70+C71+C72+C75+C78+C79+C82</f>
        <v>6484.1696261018033</v>
      </c>
      <c r="D83" s="137"/>
      <c r="E83" s="137"/>
      <c r="F83" s="98">
        <f ca="1">F70+F71+F72+F75+F78+F79+F82</f>
        <v>8571.1233321301352</v>
      </c>
      <c r="G83" s="98">
        <f ca="1">G70+G71+G72+G75+G78+G79+G82</f>
        <v>9879.726711188905</v>
      </c>
      <c r="H83" s="98">
        <f ca="1">H70+H71+H72+H75+H78+H79+H82</f>
        <v>10269.408363763039</v>
      </c>
      <c r="I83" s="98">
        <f ca="1">I70+I71+I72+I75+I78+I79+I82</f>
        <v>10634.812939089137</v>
      </c>
      <c r="J83" s="98">
        <f ca="1">J70+J71+J72+J75+J78+J79+J82</f>
        <v>11028.278230952204</v>
      </c>
    </row>
    <row r="84" spans="1:10" ht="15" customHeight="1" x14ac:dyDescent="0.25">
      <c r="A84" s="89" t="s">
        <v>182</v>
      </c>
      <c r="B84" s="132"/>
      <c r="C84" s="83">
        <f>Acquirer!C64</f>
        <v>-1917.25</v>
      </c>
      <c r="D84" s="132"/>
      <c r="E84" s="132"/>
      <c r="F84" s="83">
        <f>Acquirer!D64</f>
        <v>-2013.1124999999993</v>
      </c>
      <c r="G84" s="83">
        <f>Acquirer!E64</f>
        <v>-2020.7998125000013</v>
      </c>
      <c r="H84" s="83">
        <f>Acquirer!F64</f>
        <v>-2014.5839175000037</v>
      </c>
      <c r="I84" s="83">
        <f>Acquirer!G64</f>
        <v>-1994.1293121749986</v>
      </c>
      <c r="J84" s="83">
        <f>Acquirer!H64</f>
        <v>-2063.9238381011237</v>
      </c>
    </row>
    <row r="85" spans="1:10" ht="15" customHeight="1" x14ac:dyDescent="0.25">
      <c r="A85" s="89" t="s">
        <v>66</v>
      </c>
      <c r="B85" s="138"/>
      <c r="C85" s="94">
        <v>0</v>
      </c>
      <c r="D85" s="139"/>
      <c r="E85" s="139"/>
      <c r="F85" s="83">
        <f>Target!D64</f>
        <v>-1096.1507578997271</v>
      </c>
      <c r="G85" s="83">
        <f>Target!E64</f>
        <v>-1037.1790717983649</v>
      </c>
      <c r="H85" s="83">
        <f>Target!F64</f>
        <v>-1120.77989900385</v>
      </c>
      <c r="I85" s="83">
        <f>Target!G64</f>
        <v>-1211.5805436239052</v>
      </c>
      <c r="J85" s="83">
        <f>Target!H64</f>
        <v>-1310.3666519236986</v>
      </c>
    </row>
    <row r="86" spans="1:10" ht="15" customHeight="1" x14ac:dyDescent="0.25">
      <c r="A86" s="86" t="str">
        <f>Acquirer!A64</f>
        <v>Capital expenditure</v>
      </c>
      <c r="B86" s="130"/>
      <c r="C86" s="87">
        <f>SUM(C84:C85)</f>
        <v>-1917.25</v>
      </c>
      <c r="D86" s="130"/>
      <c r="E86" s="130"/>
      <c r="F86" s="87">
        <f>SUM(F84:F85)</f>
        <v>-3109.2632578997263</v>
      </c>
      <c r="G86" s="87">
        <f>SUM(G84:G85)</f>
        <v>-3057.9788842983662</v>
      </c>
      <c r="H86" s="87">
        <f>SUM(H84:H85)</f>
        <v>-3135.3638165038537</v>
      </c>
      <c r="I86" s="87">
        <f>SUM(I84:I85)</f>
        <v>-3205.7098557989038</v>
      </c>
      <c r="J86" s="87">
        <f>SUM(J84:J85)</f>
        <v>-3374.2904900248222</v>
      </c>
    </row>
    <row r="87" spans="1:10" ht="15" customHeight="1" x14ac:dyDescent="0.25">
      <c r="A87" s="5" t="s">
        <v>166</v>
      </c>
      <c r="B87" s="132"/>
      <c r="C87" s="83">
        <f>Acquirer!C65</f>
        <v>0</v>
      </c>
      <c r="D87" s="132"/>
      <c r="E87" s="132"/>
      <c r="F87" s="83">
        <f>Acquirer!D65+Target!D65</f>
        <v>0</v>
      </c>
      <c r="G87" s="83">
        <f>Acquirer!E65+Target!E65</f>
        <v>-2500</v>
      </c>
      <c r="H87" s="83">
        <f>Acquirer!F65+Target!F65</f>
        <v>-2500</v>
      </c>
      <c r="I87" s="83">
        <f>Acquirer!G65+Target!G65</f>
        <v>-3000</v>
      </c>
      <c r="J87" s="83">
        <f>Acquirer!H65+Target!H65</f>
        <v>-3000</v>
      </c>
    </row>
    <row r="88" spans="1:10" ht="15" customHeight="1" x14ac:dyDescent="0.25">
      <c r="A88" s="62" t="s">
        <v>85</v>
      </c>
      <c r="B88" s="124"/>
      <c r="C88" s="80">
        <f>Acquirer!C66</f>
        <v>-2590.6280000000002</v>
      </c>
      <c r="D88" s="124"/>
      <c r="E88" s="124"/>
      <c r="F88" s="80">
        <f>C101*-F98</f>
        <v>-3246.7475622475959</v>
      </c>
      <c r="G88" s="80">
        <f>F101*-G98</f>
        <v>-3158.860668858219</v>
      </c>
      <c r="H88" s="80">
        <f>G101*-H98</f>
        <v>-3210.5634925356071</v>
      </c>
      <c r="I88" s="80">
        <f>H101*-I98</f>
        <v>-3241.2283621889269</v>
      </c>
      <c r="J88" s="80">
        <f>I101*-J98</f>
        <v>-3268.0475516195406</v>
      </c>
    </row>
    <row r="89" spans="1:10" ht="15" customHeight="1" x14ac:dyDescent="0.25">
      <c r="A89" s="86" t="s">
        <v>167</v>
      </c>
      <c r="B89" s="130"/>
      <c r="C89" s="87">
        <f>SUM(C87:C88)</f>
        <v>-2590.6280000000002</v>
      </c>
      <c r="D89" s="130"/>
      <c r="E89" s="130"/>
      <c r="F89" s="87">
        <f>SUM(F87:F88)</f>
        <v>-3246.7475622475959</v>
      </c>
      <c r="G89" s="87">
        <f>SUM(G87:G88)</f>
        <v>-5658.8606688582186</v>
      </c>
      <c r="H89" s="87">
        <f>SUM(H87:H88)</f>
        <v>-5710.5634925356071</v>
      </c>
      <c r="I89" s="87">
        <f>SUM(I87:I88)</f>
        <v>-6241.2283621889273</v>
      </c>
      <c r="J89" s="87">
        <f>SUM(J87:J88)</f>
        <v>-6268.0475516195402</v>
      </c>
    </row>
    <row r="90" spans="1:10" ht="15" customHeight="1" x14ac:dyDescent="0.25">
      <c r="A90" s="74" t="str">
        <f>Acquirer!A67</f>
        <v>Change in net cash/net debt</v>
      </c>
      <c r="B90" s="131"/>
      <c r="C90" s="88">
        <f ca="1">C83+C86+C89</f>
        <v>1976.2916261018031</v>
      </c>
      <c r="D90" s="131"/>
      <c r="E90" s="131"/>
      <c r="F90" s="88">
        <f ca="1">F83+F86+F89</f>
        <v>2215.112511982813</v>
      </c>
      <c r="G90" s="88">
        <f ca="1">G83+G86+G89</f>
        <v>1162.8871580323203</v>
      </c>
      <c r="H90" s="88">
        <f ca="1">H83+H86+H89</f>
        <v>1423.4810547235784</v>
      </c>
      <c r="I90" s="88">
        <f ca="1">I83+I86+I89</f>
        <v>1187.874721101306</v>
      </c>
      <c r="J90" s="88">
        <f ca="1">J83+J86+J89</f>
        <v>1385.940189307842</v>
      </c>
    </row>
    <row r="91" spans="1:10" ht="15" customHeight="1" x14ac:dyDescent="0.25">
      <c r="F91" s="99"/>
      <c r="G91" s="99"/>
      <c r="H91" s="99"/>
      <c r="I91" s="99"/>
      <c r="J91" s="99"/>
    </row>
    <row r="92" spans="1:10" ht="15" customHeight="1" x14ac:dyDescent="0.25">
      <c r="A92" s="45" t="s">
        <v>30</v>
      </c>
      <c r="F92" s="99"/>
      <c r="G92" s="99"/>
      <c r="H92" s="99"/>
      <c r="I92" s="99"/>
      <c r="J92" s="99"/>
    </row>
    <row r="93" spans="1:10" ht="15" customHeight="1" x14ac:dyDescent="0.25">
      <c r="A93" s="47" t="s">
        <v>31</v>
      </c>
      <c r="B93" s="143"/>
      <c r="C93" s="100">
        <f>C26*(1-C12)/C18</f>
        <v>0.10990035939483936</v>
      </c>
      <c r="D93" s="143"/>
      <c r="E93" s="143"/>
      <c r="F93" s="100">
        <f>F26*(1-F12)/F18</f>
        <v>0.10416457816428087</v>
      </c>
      <c r="G93" s="100">
        <f>G26*(1-G12)/G18</f>
        <v>0.10830140992964304</v>
      </c>
      <c r="H93" s="100">
        <f>H26*(1-H12)/H18</f>
        <v>0.10790420341362321</v>
      </c>
      <c r="I93" s="100">
        <f>I26*(1-I12)/I18</f>
        <v>0.10749419243979884</v>
      </c>
      <c r="J93" s="100">
        <f>J26*(1-J12)/J18</f>
        <v>0.10707561549810467</v>
      </c>
    </row>
    <row r="94" spans="1:10" ht="15" customHeight="1" x14ac:dyDescent="0.25">
      <c r="A94" s="25" t="s">
        <v>168</v>
      </c>
      <c r="B94" s="144"/>
      <c r="C94" s="116">
        <f>C18/(B52-B43)</f>
        <v>1.7455047939324555</v>
      </c>
      <c r="D94" s="144"/>
      <c r="E94" s="144"/>
      <c r="F94" s="116">
        <f ca="1">F18/(E52-E43)</f>
        <v>1.1089603633909737</v>
      </c>
      <c r="G94" s="116">
        <f ca="1">G18/(F52-F43)</f>
        <v>1.1386583118635081</v>
      </c>
      <c r="H94" s="116">
        <f ca="1">H18/(G52-G43)</f>
        <v>1.1662621756178815</v>
      </c>
      <c r="I94" s="116">
        <f ca="1">I18/(H52-H43)</f>
        <v>1.1905355972963716</v>
      </c>
      <c r="J94" s="116">
        <f ca="1">J18/(I52-I43)</f>
        <v>1.2156799070791886</v>
      </c>
    </row>
    <row r="95" spans="1:10" ht="15" customHeight="1" x14ac:dyDescent="0.25">
      <c r="A95" s="47" t="s">
        <v>29</v>
      </c>
      <c r="B95" s="143"/>
      <c r="C95" s="100">
        <f>C93*C94</f>
        <v>0.19183160417859188</v>
      </c>
      <c r="D95" s="143"/>
      <c r="E95" s="143"/>
      <c r="F95" s="100">
        <f ca="1">F93*F94</f>
        <v>0.1155143884535284</v>
      </c>
      <c r="G95" s="100">
        <f ca="1">G93*G94</f>
        <v>0.12331830060292512</v>
      </c>
      <c r="H95" s="100">
        <f ca="1">H93*H94</f>
        <v>0.12584459103148662</v>
      </c>
      <c r="I95" s="100">
        <f ca="1">I93*I94</f>
        <v>0.12797566260220702</v>
      </c>
      <c r="J95" s="100">
        <f ca="1">J93*J94</f>
        <v>0.1301696742991828</v>
      </c>
    </row>
    <row r="96" spans="1:10" ht="15" customHeight="1" x14ac:dyDescent="0.25">
      <c r="F96" s="99"/>
      <c r="G96" s="99"/>
      <c r="H96" s="99"/>
      <c r="I96" s="99"/>
      <c r="J96" s="99"/>
    </row>
    <row r="97" spans="1:10" ht="15" customHeight="1" x14ac:dyDescent="0.25">
      <c r="A97" s="74" t="str">
        <f>Acquirer!A74</f>
        <v>Per share statistics</v>
      </c>
      <c r="F97" s="99"/>
      <c r="G97" s="99"/>
      <c r="H97" s="99"/>
      <c r="I97" s="99"/>
      <c r="J97" s="99"/>
    </row>
    <row r="98" spans="1:10" ht="15" customHeight="1" x14ac:dyDescent="0.25">
      <c r="A98" s="62" t="str">
        <f>Acquirer!A75</f>
        <v>Shares issued (million)</v>
      </c>
      <c r="B98" s="101">
        <f>Acquirer!B75</f>
        <v>2815.9</v>
      </c>
      <c r="C98" s="101">
        <f>Acquirer!C75</f>
        <v>2815.9</v>
      </c>
      <c r="D98" s="101">
        <f>Acquisition!B16</f>
        <v>713.1734372256476</v>
      </c>
      <c r="E98" s="101">
        <f>C98+D98</f>
        <v>3529.0734372256475</v>
      </c>
      <c r="F98" s="101">
        <f>E98+F87/Acquirer!$B$79</f>
        <v>3529.0734372256475</v>
      </c>
      <c r="G98" s="101">
        <f>F98+G87/Acquirer!$B$79</f>
        <v>3433.5442052806725</v>
      </c>
      <c r="H98" s="101">
        <f>G98+H87/Acquirer!$B$79</f>
        <v>3338.0149733356975</v>
      </c>
      <c r="I98" s="101">
        <f>H98+I87/Acquirer!$B$79</f>
        <v>3223.3798950017272</v>
      </c>
      <c r="J98" s="101">
        <f>I98+J87/Acquirer!$B$79</f>
        <v>3108.7448166677568</v>
      </c>
    </row>
    <row r="99" spans="1:10" ht="15" customHeight="1" x14ac:dyDescent="0.25">
      <c r="A99" s="62" t="s">
        <v>97</v>
      </c>
      <c r="B99" s="93">
        <f>B38/B98</f>
        <v>1.5099968038637734</v>
      </c>
      <c r="C99" s="93">
        <f ca="1">C38/C98</f>
        <v>1.7435549264077084</v>
      </c>
      <c r="D99" s="140"/>
      <c r="E99" s="140"/>
      <c r="F99" s="93">
        <f ca="1">F38/F98</f>
        <v>1.7824571811651775</v>
      </c>
      <c r="G99" s="93">
        <f ca="1">G38/G98</f>
        <v>2.180714501911694</v>
      </c>
      <c r="H99" s="93">
        <f ca="1">H38/H98</f>
        <v>2.3278053970772565</v>
      </c>
      <c r="I99" s="93">
        <f ca="1">I38/I98</f>
        <v>2.4917820467379568</v>
      </c>
      <c r="J99" s="93">
        <f ca="1">J38/J98</f>
        <v>2.669862197215199</v>
      </c>
    </row>
    <row r="100" spans="1:10" ht="15" customHeight="1" x14ac:dyDescent="0.25">
      <c r="A100" s="78" t="s">
        <v>98</v>
      </c>
      <c r="B100" s="100">
        <f>B99/Acquirer!B76-1</f>
        <v>0</v>
      </c>
      <c r="C100" s="100">
        <f ca="1">C99/Acquirer!C76-1</f>
        <v>0</v>
      </c>
      <c r="D100" s="141"/>
      <c r="E100" s="141"/>
      <c r="F100" s="100">
        <f ca="1">F99/Acquirer!D76-1</f>
        <v>-4.0337870974749057E-2</v>
      </c>
      <c r="G100" s="100">
        <f ca="1">G99/Acquirer!E76-1</f>
        <v>8.9632522981316409E-2</v>
      </c>
      <c r="H100" s="100">
        <f ca="1">H99/Acquirer!F76-1</f>
        <v>8.799607417994082E-2</v>
      </c>
      <c r="I100" s="100">
        <f ca="1">I99/Acquirer!G76-1</f>
        <v>8.6832452076303079E-2</v>
      </c>
      <c r="J100" s="100">
        <f ca="1">J99/Acquirer!H76-1</f>
        <v>8.6355612347424726E-2</v>
      </c>
    </row>
    <row r="101" spans="1:10" s="121" customFormat="1" ht="15" customHeight="1" x14ac:dyDescent="0.25">
      <c r="A101" s="121" t="s">
        <v>195</v>
      </c>
      <c r="B101" s="121">
        <f>Acquirer!B77</f>
        <v>0.88</v>
      </c>
      <c r="C101" s="121">
        <f>Acquirer!C77</f>
        <v>0.92</v>
      </c>
      <c r="D101" s="142"/>
      <c r="E101" s="142"/>
      <c r="F101" s="121">
        <f>Acquirer!C77</f>
        <v>0.92</v>
      </c>
      <c r="G101" s="121">
        <f>Acquirer!D77</f>
        <v>0.96181818181818179</v>
      </c>
      <c r="H101" s="121">
        <f>Acquirer!E77</f>
        <v>1.0055371900826446</v>
      </c>
      <c r="I101" s="121">
        <f>Acquirer!F77</f>
        <v>1.0512434259954921</v>
      </c>
      <c r="J101" s="121">
        <f>Acquirer!G77</f>
        <v>1.0990272180861962</v>
      </c>
    </row>
    <row r="102" spans="1:10" ht="15" customHeight="1" x14ac:dyDescent="0.25">
      <c r="A102" s="78" t="s">
        <v>158</v>
      </c>
      <c r="B102" s="100">
        <f>B101/B99</f>
        <v>0.582782690498589</v>
      </c>
      <c r="C102" s="100">
        <f ca="1">C101/C99</f>
        <v>0.52765759544811131</v>
      </c>
      <c r="D102" s="141"/>
      <c r="E102" s="141"/>
      <c r="F102" s="100">
        <f ca="1">F101/F99</f>
        <v>0.51614143089743325</v>
      </c>
      <c r="G102" s="100">
        <f ca="1">G101/G99</f>
        <v>0.44105644318640375</v>
      </c>
      <c r="H102" s="100">
        <f ca="1">H101/H99</f>
        <v>0.43196789188012708</v>
      </c>
      <c r="I102" s="100">
        <f ca="1">I101/I99</f>
        <v>0.42188418018810936</v>
      </c>
      <c r="J102" s="100">
        <f ca="1">J101/J99</f>
        <v>0.4116419264007472</v>
      </c>
    </row>
    <row r="103" spans="1:10" ht="15" customHeight="1" x14ac:dyDescent="0.25">
      <c r="A103" s="78"/>
      <c r="B103" s="100"/>
      <c r="C103" s="100"/>
      <c r="D103" s="79"/>
      <c r="E103" s="79"/>
      <c r="F103" s="100"/>
      <c r="G103" s="100"/>
      <c r="H103" s="100"/>
      <c r="I103" s="100"/>
      <c r="J103" s="100"/>
    </row>
    <row r="104" spans="1:10" ht="15" customHeight="1" x14ac:dyDescent="0.25">
      <c r="A104" s="78"/>
      <c r="B104" s="100"/>
      <c r="C104" s="100"/>
      <c r="D104" s="79"/>
      <c r="E104" s="79"/>
      <c r="F104" s="102"/>
      <c r="G104" s="102"/>
      <c r="H104" s="102"/>
      <c r="I104" s="102"/>
      <c r="J104" s="102"/>
    </row>
    <row r="105" spans="1:10" ht="15" customHeight="1" x14ac:dyDescent="0.25">
      <c r="A105" s="78"/>
      <c r="B105" s="100"/>
      <c r="C105" s="100"/>
      <c r="D105" s="79"/>
      <c r="E105" s="79"/>
      <c r="F105" s="102"/>
      <c r="G105" s="102"/>
      <c r="H105" s="102"/>
      <c r="I105" s="102"/>
      <c r="J105" s="102"/>
    </row>
    <row r="106" spans="1:10" ht="15" customHeight="1" x14ac:dyDescent="0.25">
      <c r="F106" s="99"/>
      <c r="G106" s="99"/>
      <c r="H106" s="99"/>
      <c r="I106" s="99"/>
      <c r="J106" s="99"/>
    </row>
    <row r="107" spans="1:10" x14ac:dyDescent="0.25">
      <c r="F107" s="99"/>
      <c r="G107" s="99"/>
      <c r="H107" s="99"/>
      <c r="I107" s="99"/>
      <c r="J107" s="99"/>
    </row>
    <row r="108" spans="1:10" x14ac:dyDescent="0.25">
      <c r="F108" s="99"/>
      <c r="G108" s="99"/>
      <c r="H108" s="99"/>
      <c r="I108" s="99"/>
      <c r="J108" s="99"/>
    </row>
    <row r="109" spans="1:10" x14ac:dyDescent="0.25">
      <c r="F109" s="99"/>
      <c r="G109" s="99"/>
      <c r="H109" s="99"/>
      <c r="I109" s="99"/>
      <c r="J109" s="99"/>
    </row>
    <row r="110" spans="1:10" x14ac:dyDescent="0.25">
      <c r="F110" s="99"/>
      <c r="G110" s="99"/>
      <c r="H110" s="99"/>
      <c r="I110" s="99"/>
      <c r="J110" s="99"/>
    </row>
  </sheetData>
  <phoneticPr fontId="0" type="noConversion"/>
  <pageMargins left="0.39370078740157483" right="0.39370078740157483" top="0.39370078740157483" bottom="0.39370078740157483" header="0.19685039370078741" footer="0.19685039370078741"/>
  <pageSetup paperSize="9" orientation="landscape" horizontalDpi="4294967292" r:id="rId1"/>
  <headerFooter alignWithMargins="0">
    <oddHeader>&amp;L&amp;"Times New Roman,Regular"&amp;8&amp;F, &amp;A&amp;R&amp;"Times New Roman,Regular"&amp;8&amp;D, &amp;T</oddHeader>
    <oddFooter>&amp;L&amp;"Times New Roman,Regular"&amp;8© BG Training 2003</oddFooter>
  </headerFooter>
  <rowBreaks count="3" manualBreakCount="3">
    <brk id="38" max="16383" man="1"/>
    <brk id="67" max="16383" man="1"/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Normal="100" workbookViewId="0"/>
  </sheetViews>
  <sheetFormatPr defaultRowHeight="15" x14ac:dyDescent="0.25"/>
  <cols>
    <col min="1" max="1" width="34.42578125" style="106" customWidth="1"/>
    <col min="2" max="2" width="9.140625" style="106" customWidth="1"/>
    <col min="3" max="16384" width="9.140625" style="106"/>
  </cols>
  <sheetData>
    <row r="1" spans="1:8" x14ac:dyDescent="0.25">
      <c r="A1" s="105"/>
      <c r="B1" s="105"/>
      <c r="C1" s="105"/>
      <c r="D1" s="105"/>
      <c r="E1" s="105"/>
      <c r="F1" s="105"/>
      <c r="G1" s="105"/>
      <c r="H1" s="105"/>
    </row>
    <row r="2" spans="1:8" x14ac:dyDescent="0.25">
      <c r="A2" s="64" t="str">
        <f>CONCATENATE(Start!K12)</f>
        <v>DEF</v>
      </c>
      <c r="B2" s="64"/>
      <c r="C2" s="64"/>
      <c r="D2" s="64"/>
      <c r="E2" s="64"/>
      <c r="F2" s="64"/>
      <c r="G2" s="64"/>
      <c r="H2" s="64"/>
    </row>
    <row r="3" spans="1:8" x14ac:dyDescent="0.25">
      <c r="A3" s="111" t="str">
        <f>CONCATENATE("(",Start!K15," Millions, except per share amounts)")</f>
        <v>(Euro Millions, except per share amounts)</v>
      </c>
      <c r="B3" s="64"/>
      <c r="C3" s="64"/>
      <c r="D3" s="64"/>
      <c r="E3" s="64"/>
      <c r="F3" s="64"/>
      <c r="G3" s="64"/>
      <c r="H3" s="111"/>
    </row>
    <row r="4" spans="1:8" x14ac:dyDescent="0.25">
      <c r="A4" s="105" t="str">
        <f>CONCATENATE(Start!H13," ",Start!K13)</f>
        <v xml:space="preserve">Fiscal Year End December </v>
      </c>
      <c r="B4" s="64"/>
      <c r="C4" s="64"/>
      <c r="D4" s="64"/>
      <c r="E4" s="64"/>
      <c r="F4" s="64"/>
      <c r="G4" s="64"/>
      <c r="H4" s="105"/>
    </row>
    <row r="5" spans="1:8" x14ac:dyDescent="0.25">
      <c r="A5" s="105"/>
      <c r="B5" s="64"/>
      <c r="C5" s="64"/>
      <c r="D5" s="64"/>
      <c r="E5" s="64"/>
      <c r="F5" s="64"/>
      <c r="G5" s="64"/>
      <c r="H5" s="105"/>
    </row>
    <row r="6" spans="1:8" x14ac:dyDescent="0.25">
      <c r="A6" s="106" t="s">
        <v>104</v>
      </c>
    </row>
    <row r="8" spans="1:8" x14ac:dyDescent="0.25">
      <c r="B8" s="106" t="s">
        <v>124</v>
      </c>
      <c r="C8" s="106" t="s">
        <v>69</v>
      </c>
    </row>
    <row r="10" spans="1:8" x14ac:dyDescent="0.25">
      <c r="A10" s="106" t="s">
        <v>105</v>
      </c>
    </row>
    <row r="11" spans="1:8" x14ac:dyDescent="0.25">
      <c r="A11" s="1" t="s">
        <v>110</v>
      </c>
      <c r="B11" s="169">
        <v>2.1999999999999999E-2</v>
      </c>
      <c r="C11" s="4">
        <f>B11</f>
        <v>2.1999999999999999E-2</v>
      </c>
    </row>
    <row r="12" spans="1:8" x14ac:dyDescent="0.25">
      <c r="A12" s="1" t="s">
        <v>106</v>
      </c>
      <c r="B12" s="169">
        <v>6.3600000000000004E-2</v>
      </c>
      <c r="C12" s="4">
        <f>B12</f>
        <v>6.3600000000000004E-2</v>
      </c>
    </row>
    <row r="13" spans="1:8" x14ac:dyDescent="0.25">
      <c r="A13" s="2" t="s">
        <v>107</v>
      </c>
      <c r="B13" s="170">
        <v>0.7</v>
      </c>
      <c r="C13" s="113">
        <f ca="1">C15*(1+C38/C32*(1-C22))</f>
        <v>1.0274791068385873</v>
      </c>
    </row>
    <row r="14" spans="1:8" x14ac:dyDescent="0.25">
      <c r="A14" s="1" t="s">
        <v>108</v>
      </c>
      <c r="B14" s="1">
        <f>B11+B12*B13</f>
        <v>6.6519999999999996E-2</v>
      </c>
      <c r="C14" s="1">
        <f ca="1">C11+C12*C13</f>
        <v>8.7347671194934168E-2</v>
      </c>
    </row>
    <row r="15" spans="1:8" x14ac:dyDescent="0.25">
      <c r="A15" s="2" t="s">
        <v>125</v>
      </c>
      <c r="B15" s="112">
        <f ca="1">B13/(1+B38/B32*(1-B22))</f>
        <v>0.65659072297736887</v>
      </c>
      <c r="C15" s="113">
        <f ca="1">B15</f>
        <v>0.65659072297736887</v>
      </c>
    </row>
    <row r="16" spans="1:8" x14ac:dyDescent="0.25">
      <c r="A16" s="1"/>
      <c r="B16" s="1"/>
    </row>
    <row r="18" spans="1:3" x14ac:dyDescent="0.25">
      <c r="A18" s="2" t="s">
        <v>109</v>
      </c>
    </row>
    <row r="19" spans="1:3" x14ac:dyDescent="0.25">
      <c r="A19" s="1" t="s">
        <v>110</v>
      </c>
      <c r="B19" s="1">
        <f>B11</f>
        <v>2.1999999999999999E-2</v>
      </c>
      <c r="C19" s="4">
        <f>B19</f>
        <v>2.1999999999999999E-2</v>
      </c>
    </row>
    <row r="20" spans="1:3" x14ac:dyDescent="0.25">
      <c r="A20" s="1" t="s">
        <v>111</v>
      </c>
      <c r="B20" s="169">
        <v>1.4999999999999999E-2</v>
      </c>
      <c r="C20" s="171">
        <v>1.9E-2</v>
      </c>
    </row>
    <row r="21" spans="1:3" x14ac:dyDescent="0.25">
      <c r="A21" s="1" t="s">
        <v>112</v>
      </c>
      <c r="B21" s="1">
        <f>SUM(B19:B20)</f>
        <v>3.6999999999999998E-2</v>
      </c>
      <c r="C21" s="4">
        <f>SUM(C19:C20)</f>
        <v>4.0999999999999995E-2</v>
      </c>
    </row>
    <row r="22" spans="1:3" x14ac:dyDescent="0.25">
      <c r="A22" s="1" t="s">
        <v>113</v>
      </c>
      <c r="B22" s="1">
        <f>Target!C13</f>
        <v>0.25381903642773207</v>
      </c>
      <c r="C22" s="4">
        <f>B22</f>
        <v>0.25381903642773207</v>
      </c>
    </row>
    <row r="23" spans="1:3" x14ac:dyDescent="0.25">
      <c r="A23" s="1" t="s">
        <v>114</v>
      </c>
      <c r="B23" s="1">
        <f>B21*(1-B22)</f>
        <v>2.7608695652173911E-2</v>
      </c>
      <c r="C23" s="1">
        <f>C21*(1-C22)</f>
        <v>3.0593419506462983E-2</v>
      </c>
    </row>
    <row r="25" spans="1:3" x14ac:dyDescent="0.25">
      <c r="A25" s="2" t="s">
        <v>123</v>
      </c>
    </row>
    <row r="26" spans="1:3" x14ac:dyDescent="0.25">
      <c r="A26" s="2"/>
    </row>
    <row r="27" spans="1:3" x14ac:dyDescent="0.25">
      <c r="A27" s="106" t="s">
        <v>115</v>
      </c>
    </row>
    <row r="28" spans="1:3" x14ac:dyDescent="0.25">
      <c r="A28" s="106" t="s">
        <v>33</v>
      </c>
      <c r="B28" s="107">
        <f>Target!C75</f>
        <v>434.10528199999999</v>
      </c>
      <c r="C28" s="107"/>
    </row>
    <row r="29" spans="1:3" x14ac:dyDescent="0.25">
      <c r="A29" s="106" t="str">
        <f>CONCATENATE("Share price in ",Start!K15)</f>
        <v>Share price in Euro</v>
      </c>
      <c r="B29" s="108">
        <f>Target!B79</f>
        <v>55.12</v>
      </c>
      <c r="C29" s="113"/>
    </row>
    <row r="30" spans="1:3" x14ac:dyDescent="0.25">
      <c r="A30" s="106" t="s">
        <v>116</v>
      </c>
      <c r="B30" s="109">
        <f>B28*B29</f>
        <v>23927.883143839998</v>
      </c>
      <c r="C30" s="109">
        <f>Acquisition!B17</f>
        <v>18663.7488521952</v>
      </c>
    </row>
    <row r="31" spans="1:3" x14ac:dyDescent="0.25">
      <c r="A31" s="106" t="s">
        <v>204</v>
      </c>
      <c r="B31" s="109">
        <f ca="1">Target!C36*-Target!B79/Target!C76</f>
        <v>649.03842162314641</v>
      </c>
      <c r="C31" s="109">
        <f ca="1">B31</f>
        <v>649.03842162314641</v>
      </c>
    </row>
    <row r="32" spans="1:3" x14ac:dyDescent="0.25">
      <c r="A32" s="106" t="s">
        <v>205</v>
      </c>
      <c r="B32" s="109">
        <f ca="1">SUM(B30:B31)</f>
        <v>24576.921565463144</v>
      </c>
      <c r="C32" s="109">
        <f ca="1">SUM(C30:C31)</f>
        <v>19312.787273818347</v>
      </c>
    </row>
    <row r="33" spans="1:3" x14ac:dyDescent="0.25">
      <c r="A33" s="1" t="s">
        <v>117</v>
      </c>
      <c r="B33" s="1">
        <f ca="1">B32/B40</f>
        <v>0.91860935172224822</v>
      </c>
      <c r="C33" s="1">
        <f ca="1">C32/C40</f>
        <v>0.56914719546215187</v>
      </c>
    </row>
    <row r="34" spans="1:3" x14ac:dyDescent="0.25">
      <c r="A34" s="106" t="s">
        <v>118</v>
      </c>
    </row>
    <row r="35" spans="1:3" x14ac:dyDescent="0.25">
      <c r="A35" s="106" t="s">
        <v>18</v>
      </c>
      <c r="B35" s="110">
        <f ca="1">Target!C47</f>
        <v>631.44491892432711</v>
      </c>
      <c r="C35" s="110">
        <f ca="1">Acquisition!B18+Acquisition!B19</f>
        <v>13073.944153721128</v>
      </c>
    </row>
    <row r="36" spans="1:3" x14ac:dyDescent="0.25">
      <c r="A36" s="106" t="s">
        <v>119</v>
      </c>
      <c r="B36" s="110">
        <f>Target!C48</f>
        <v>1011.9274625</v>
      </c>
      <c r="C36" s="110">
        <f>B36</f>
        <v>1011.9274625</v>
      </c>
    </row>
    <row r="37" spans="1:3" x14ac:dyDescent="0.25">
      <c r="A37" s="106" t="s">
        <v>88</v>
      </c>
      <c r="B37" s="110">
        <f>Target!C49</f>
        <v>534.19262500000002</v>
      </c>
      <c r="C37" s="110">
        <f>B37</f>
        <v>534.19262500000002</v>
      </c>
    </row>
    <row r="38" spans="1:3" x14ac:dyDescent="0.25">
      <c r="A38" s="106" t="s">
        <v>120</v>
      </c>
      <c r="B38" s="110">
        <f ca="1">SUM(B35:B37)</f>
        <v>2177.5650064243273</v>
      </c>
      <c r="C38" s="110">
        <f ca="1">SUM(C35:C37)</f>
        <v>14620.064241221127</v>
      </c>
    </row>
    <row r="39" spans="1:3" x14ac:dyDescent="0.25">
      <c r="A39" s="4" t="s">
        <v>121</v>
      </c>
      <c r="B39" s="4">
        <f ca="1">B38/B40</f>
        <v>8.1390648277751818E-2</v>
      </c>
      <c r="C39" s="4">
        <f ca="1">C38/C40</f>
        <v>0.43085280453784813</v>
      </c>
    </row>
    <row r="40" spans="1:3" x14ac:dyDescent="0.25">
      <c r="A40" s="106" t="s">
        <v>122</v>
      </c>
      <c r="B40" s="109">
        <f ca="1">B32+B38</f>
        <v>26754.486571887472</v>
      </c>
      <c r="C40" s="109">
        <f ca="1">C32+C38</f>
        <v>33932.851515039474</v>
      </c>
    </row>
    <row r="42" spans="1:3" x14ac:dyDescent="0.25">
      <c r="A42" s="3" t="s">
        <v>104</v>
      </c>
      <c r="B42" s="1">
        <f ca="1">B14*B33+B23*B39</f>
        <v>6.3352983713797537E-2</v>
      </c>
      <c r="C42" s="1">
        <f ca="1">C14*C33+C23*C39</f>
        <v>6.289494268550945E-2</v>
      </c>
    </row>
    <row r="43" spans="1:3" x14ac:dyDescent="0.25">
      <c r="A43" s="3"/>
      <c r="B43" s="1"/>
      <c r="C43" s="1"/>
    </row>
    <row r="45" spans="1:3" x14ac:dyDescent="0.25">
      <c r="A4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Normal="100" workbookViewId="0"/>
  </sheetViews>
  <sheetFormatPr defaultRowHeight="15" x14ac:dyDescent="0.25"/>
  <cols>
    <col min="1" max="1" width="39.140625" style="62" customWidth="1"/>
    <col min="2" max="2" width="11.5703125" style="62" customWidth="1"/>
    <col min="3" max="3" width="9.140625" style="62" customWidth="1"/>
    <col min="4" max="16384" width="9.140625" style="62"/>
  </cols>
  <sheetData>
    <row r="1" spans="1:9" x14ac:dyDescent="0.25">
      <c r="A1" s="105"/>
      <c r="B1" s="105"/>
      <c r="C1" s="105"/>
      <c r="D1" s="105"/>
      <c r="E1" s="105"/>
      <c r="F1" s="105"/>
      <c r="G1" s="105"/>
      <c r="H1" s="105"/>
    </row>
    <row r="2" spans="1:9" x14ac:dyDescent="0.25">
      <c r="A2" s="64" t="str">
        <f>CONCATENATE(Start!K12)</f>
        <v>DEF</v>
      </c>
      <c r="B2" s="64"/>
      <c r="C2" s="64"/>
      <c r="D2" s="64"/>
      <c r="E2" s="64"/>
      <c r="F2" s="64"/>
      <c r="G2" s="64"/>
      <c r="H2" s="64"/>
    </row>
    <row r="3" spans="1:9" x14ac:dyDescent="0.25">
      <c r="A3" s="111" t="str">
        <f>CONCATENATE("(",Start!K15," Millions, except per share amounts)")</f>
        <v>(Euro Millions, except per share amounts)</v>
      </c>
      <c r="B3" s="64"/>
      <c r="C3" s="64"/>
      <c r="D3" s="64"/>
      <c r="E3" s="64"/>
      <c r="F3" s="64"/>
      <c r="G3" s="64"/>
      <c r="H3" s="111"/>
    </row>
    <row r="4" spans="1:9" x14ac:dyDescent="0.25">
      <c r="A4" s="105" t="str">
        <f>CONCATENATE(Start!H13," ",Start!K13)</f>
        <v xml:space="preserve">Fiscal Year End December </v>
      </c>
      <c r="B4" s="64"/>
      <c r="C4" s="64"/>
      <c r="D4" s="64"/>
      <c r="E4" s="64"/>
      <c r="F4" s="64"/>
      <c r="G4" s="64"/>
      <c r="H4" s="105"/>
    </row>
    <row r="6" spans="1:9" x14ac:dyDescent="0.25">
      <c r="A6" s="62" t="str">
        <f>Target!A7</f>
        <v>Year</v>
      </c>
      <c r="D6" s="62">
        <f>Target!D7</f>
        <v>2</v>
      </c>
      <c r="E6" s="62">
        <f>Target!E7</f>
        <v>3</v>
      </c>
      <c r="F6" s="62">
        <f>Target!F7</f>
        <v>4</v>
      </c>
      <c r="G6" s="62">
        <f>Target!G7</f>
        <v>5</v>
      </c>
      <c r="H6" s="62">
        <f>Target!H7</f>
        <v>6</v>
      </c>
      <c r="I6" s="62" t="s">
        <v>130</v>
      </c>
    </row>
    <row r="8" spans="1:9" x14ac:dyDescent="0.25">
      <c r="A8" s="62" t="s">
        <v>196</v>
      </c>
      <c r="B8" s="172">
        <v>0</v>
      </c>
    </row>
    <row r="9" spans="1:9" x14ac:dyDescent="0.25">
      <c r="A9" s="79" t="s">
        <v>131</v>
      </c>
      <c r="B9" s="114">
        <f ca="1">IF(B8=0,WACC!B42,WACC!C42)</f>
        <v>6.3352983713797537E-2</v>
      </c>
    </row>
    <row r="10" spans="1:9" x14ac:dyDescent="0.25">
      <c r="A10" s="79" t="s">
        <v>132</v>
      </c>
      <c r="B10" s="173">
        <v>0.03</v>
      </c>
    </row>
    <row r="11" spans="1:9" x14ac:dyDescent="0.25">
      <c r="A11" s="79" t="s">
        <v>133</v>
      </c>
      <c r="B11" s="173">
        <v>0.09</v>
      </c>
    </row>
    <row r="12" spans="1:9" x14ac:dyDescent="0.25">
      <c r="A12" s="62" t="s">
        <v>197</v>
      </c>
      <c r="B12" s="172">
        <v>0</v>
      </c>
    </row>
    <row r="13" spans="1:9" x14ac:dyDescent="0.25">
      <c r="A13" s="62" t="s">
        <v>126</v>
      </c>
      <c r="D13" s="103">
        <f>Target!D29</f>
        <v>2004.1606173001674</v>
      </c>
      <c r="E13" s="103">
        <f>Target!E29</f>
        <v>2081.6804535577903</v>
      </c>
      <c r="F13" s="103">
        <f>Target!F29</f>
        <v>2158.708161562462</v>
      </c>
      <c r="G13" s="103">
        <f>Target!G29</f>
        <v>2234.7988265592335</v>
      </c>
      <c r="H13" s="103">
        <f>Target!H29</f>
        <v>2309.4495295819352</v>
      </c>
      <c r="I13" s="103"/>
    </row>
    <row r="14" spans="1:9" x14ac:dyDescent="0.25">
      <c r="A14" s="62" t="s">
        <v>127</v>
      </c>
      <c r="D14" s="103">
        <f>D13*-Target!D13</f>
        <v>-508.69411672953714</v>
      </c>
      <c r="E14" s="103">
        <f>E13*-Target!E13</f>
        <v>-528.37012687248261</v>
      </c>
      <c r="F14" s="103">
        <f>F13*-Target!F13</f>
        <v>-547.92122549646513</v>
      </c>
      <c r="G14" s="103">
        <f>G13*-Target!G13</f>
        <v>-567.23448476709098</v>
      </c>
      <c r="H14" s="103">
        <f>H13*-Target!H13</f>
        <v>-586.18225427696586</v>
      </c>
      <c r="I14" s="103"/>
    </row>
    <row r="15" spans="1:9" x14ac:dyDescent="0.25">
      <c r="A15" s="62" t="s">
        <v>128</v>
      </c>
      <c r="D15" s="103">
        <f>SUM(D13:D14)</f>
        <v>1495.4665005706302</v>
      </c>
      <c r="E15" s="103">
        <f>SUM(E13:E14)</f>
        <v>1553.3103266853077</v>
      </c>
      <c r="F15" s="103">
        <f>SUM(F13:F14)</f>
        <v>1610.786936065997</v>
      </c>
      <c r="G15" s="103">
        <f>SUM(G13:G14)</f>
        <v>1667.5643417921424</v>
      </c>
      <c r="H15" s="103">
        <f>SUM(H13:H14)</f>
        <v>1723.2672753049692</v>
      </c>
      <c r="I15" s="103"/>
    </row>
    <row r="16" spans="1:9" x14ac:dyDescent="0.25">
      <c r="A16" s="117" t="s">
        <v>134</v>
      </c>
      <c r="B16" s="117"/>
      <c r="C16" s="117"/>
      <c r="D16" s="104">
        <f>Synergies!D17*$B$12</f>
        <v>0</v>
      </c>
      <c r="E16" s="104">
        <f>Synergies!E17*$B$12</f>
        <v>0</v>
      </c>
      <c r="F16" s="104">
        <f>Synergies!F17*$B$12</f>
        <v>0</v>
      </c>
      <c r="G16" s="104">
        <f>Synergies!G17*$B$12</f>
        <v>0</v>
      </c>
      <c r="H16" s="104">
        <f>Synergies!H17*$B$12</f>
        <v>0</v>
      </c>
      <c r="I16" s="104"/>
    </row>
    <row r="17" spans="1:9" x14ac:dyDescent="0.25">
      <c r="A17" s="62" t="s">
        <v>135</v>
      </c>
      <c r="D17" s="103">
        <f>SUM(D15:D16)</f>
        <v>1495.4665005706302</v>
      </c>
      <c r="E17" s="103">
        <f>SUM(E15:E16)</f>
        <v>1553.3103266853077</v>
      </c>
      <c r="F17" s="103">
        <f>SUM(F15:F16)</f>
        <v>1610.786936065997</v>
      </c>
      <c r="G17" s="103">
        <f>SUM(G15:G16)</f>
        <v>1667.5643417921424</v>
      </c>
      <c r="H17" s="103">
        <f>SUM(H15:H16)</f>
        <v>1723.2672753049692</v>
      </c>
      <c r="I17" s="103">
        <f>H17*(1+B10)</f>
        <v>1774.9652935641184</v>
      </c>
    </row>
    <row r="18" spans="1:9" x14ac:dyDescent="0.25">
      <c r="A18" s="62" t="s">
        <v>21</v>
      </c>
      <c r="D18" s="103">
        <f>Target!D61</f>
        <v>574.0584701998323</v>
      </c>
      <c r="E18" s="103">
        <f>Target!E61</f>
        <v>620.29315014220879</v>
      </c>
      <c r="F18" s="103">
        <f>Target!F61</f>
        <v>670.25820151143694</v>
      </c>
      <c r="G18" s="103">
        <f>Target!G61</f>
        <v>724.29998921606511</v>
      </c>
      <c r="H18" s="103">
        <f>Target!H61</f>
        <v>782.80873290325167</v>
      </c>
      <c r="I18" s="103"/>
    </row>
    <row r="19" spans="1:9" x14ac:dyDescent="0.25">
      <c r="A19" s="62" t="s">
        <v>24</v>
      </c>
      <c r="D19" s="103">
        <f>Target!D62</f>
        <v>-11.627699999999976</v>
      </c>
      <c r="E19" s="103">
        <f>Target!E62</f>
        <v>-11.948529600000001</v>
      </c>
      <c r="F19" s="103">
        <f>Target!F62</f>
        <v>-12.261182791199928</v>
      </c>
      <c r="G19" s="103">
        <f>Target!G62</f>
        <v>-12.564320969995208</v>
      </c>
      <c r="H19" s="103">
        <f>Target!H62</f>
        <v>-12.856578001253808</v>
      </c>
      <c r="I19" s="103"/>
    </row>
    <row r="20" spans="1:9" x14ac:dyDescent="0.25">
      <c r="A20" s="117" t="s">
        <v>23</v>
      </c>
      <c r="B20" s="117"/>
      <c r="C20" s="117"/>
      <c r="D20" s="104">
        <f>Target!D64</f>
        <v>-1096.1507578997271</v>
      </c>
      <c r="E20" s="104">
        <f>Target!E64</f>
        <v>-1037.1790717983649</v>
      </c>
      <c r="F20" s="104">
        <f>Target!F64</f>
        <v>-1120.77989900385</v>
      </c>
      <c r="G20" s="104">
        <f>Target!G64</f>
        <v>-1211.5805436239052</v>
      </c>
      <c r="H20" s="104">
        <f>Target!H64</f>
        <v>-1310.3666519236986</v>
      </c>
      <c r="I20" s="104"/>
    </row>
    <row r="21" spans="1:9" x14ac:dyDescent="0.25">
      <c r="A21" s="62" t="s">
        <v>129</v>
      </c>
      <c r="D21" s="103">
        <f>SUM(D17:D20)</f>
        <v>961.74651287073539</v>
      </c>
      <c r="E21" s="103">
        <f>SUM(E17:E20)</f>
        <v>1124.475875429152</v>
      </c>
      <c r="F21" s="103">
        <f>SUM(F17:F20)</f>
        <v>1148.0040557823836</v>
      </c>
      <c r="G21" s="103">
        <f>SUM(G17:G20)</f>
        <v>1167.7194664143071</v>
      </c>
      <c r="H21" s="103">
        <f>SUM(H17:H20)</f>
        <v>1182.8527782832684</v>
      </c>
      <c r="I21" s="103">
        <f>I17*(1-B10/B11)</f>
        <v>1183.3101957094125</v>
      </c>
    </row>
    <row r="22" spans="1:9" x14ac:dyDescent="0.25">
      <c r="A22" s="62" t="s">
        <v>184</v>
      </c>
      <c r="D22" s="103">
        <f ca="1">Target!C45-Target!C40</f>
        <v>11614.341617240014</v>
      </c>
      <c r="E22" s="103">
        <f ca="1">D22-SUM(D18:D20)</f>
        <v>12148.061604939909</v>
      </c>
      <c r="F22" s="103">
        <f ca="1">E22-SUM(E18:E20)</f>
        <v>12576.896056196065</v>
      </c>
      <c r="G22" s="103">
        <f ca="1">F22-SUM(F18:F20)</f>
        <v>13039.678936479679</v>
      </c>
      <c r="H22" s="103">
        <f ca="1">G22-SUM(G18:G20)</f>
        <v>13539.523811857514</v>
      </c>
      <c r="I22" s="103">
        <f ca="1">H22-SUM(H18:H20)</f>
        <v>14079.938308879215</v>
      </c>
    </row>
    <row r="23" spans="1:9" x14ac:dyDescent="0.25">
      <c r="A23" s="79" t="s">
        <v>29</v>
      </c>
      <c r="B23" s="79"/>
      <c r="C23" s="79"/>
      <c r="D23" s="114">
        <f t="shared" ref="D23:I23" ca="1" si="0">D17/D22</f>
        <v>0.12876033354751681</v>
      </c>
      <c r="E23" s="114">
        <f t="shared" ca="1" si="0"/>
        <v>0.12786487072585037</v>
      </c>
      <c r="F23" s="114">
        <f t="shared" ca="1" si="0"/>
        <v>0.12807507741724838</v>
      </c>
      <c r="G23" s="114">
        <f t="shared" ca="1" si="0"/>
        <v>0.12788384974165129</v>
      </c>
      <c r="H23" s="114">
        <f t="shared" ca="1" si="0"/>
        <v>0.12727680081302289</v>
      </c>
      <c r="I23" s="114">
        <f t="shared" ca="1" si="0"/>
        <v>0.12606342830669748</v>
      </c>
    </row>
    <row r="24" spans="1:9" x14ac:dyDescent="0.25">
      <c r="A24" s="78" t="s">
        <v>131</v>
      </c>
      <c r="B24" s="78"/>
      <c r="C24" s="78"/>
      <c r="D24" s="145">
        <f t="shared" ref="D24:I24" ca="1" si="1">$B$9</f>
        <v>6.3352983713797537E-2</v>
      </c>
      <c r="E24" s="145">
        <f t="shared" ca="1" si="1"/>
        <v>6.3352983713797537E-2</v>
      </c>
      <c r="F24" s="145">
        <f t="shared" ca="1" si="1"/>
        <v>6.3352983713797537E-2</v>
      </c>
      <c r="G24" s="145">
        <f t="shared" ca="1" si="1"/>
        <v>6.3352983713797537E-2</v>
      </c>
      <c r="H24" s="145">
        <f t="shared" ca="1" si="1"/>
        <v>6.3352983713797537E-2</v>
      </c>
      <c r="I24" s="145">
        <f t="shared" ca="1" si="1"/>
        <v>6.3352983713797537E-2</v>
      </c>
    </row>
    <row r="25" spans="1:9" x14ac:dyDescent="0.25">
      <c r="A25" s="78" t="s">
        <v>185</v>
      </c>
      <c r="B25" s="78"/>
      <c r="C25" s="78"/>
      <c r="D25" s="145">
        <f t="shared" ref="D25:I25" ca="1" si="2">D23-D24</f>
        <v>6.5407349833719278E-2</v>
      </c>
      <c r="E25" s="145">
        <f t="shared" ca="1" si="2"/>
        <v>6.4511887012052835E-2</v>
      </c>
      <c r="F25" s="145">
        <f t="shared" ca="1" si="2"/>
        <v>6.4722093703450848E-2</v>
      </c>
      <c r="G25" s="145">
        <f t="shared" ca="1" si="2"/>
        <v>6.4530866027853753E-2</v>
      </c>
      <c r="H25" s="145">
        <f t="shared" ca="1" si="2"/>
        <v>6.3923817099225358E-2</v>
      </c>
      <c r="I25" s="145">
        <f t="shared" ca="1" si="2"/>
        <v>6.2710444592899942E-2</v>
      </c>
    </row>
    <row r="26" spans="1:9" x14ac:dyDescent="0.25">
      <c r="A26" s="62" t="s">
        <v>186</v>
      </c>
      <c r="D26" s="80">
        <f t="shared" ref="D26:I26" ca="1" si="3">D25*D22</f>
        <v>759.66330524714249</v>
      </c>
      <c r="E26" s="80">
        <f t="shared" ca="1" si="3"/>
        <v>783.69437767334057</v>
      </c>
      <c r="F26" s="80">
        <f t="shared" ca="1" si="3"/>
        <v>814.00304504768314</v>
      </c>
      <c r="G26" s="80">
        <f t="shared" ca="1" si="3"/>
        <v>841.46177449619665</v>
      </c>
      <c r="H26" s="80">
        <f t="shared" ca="1" si="3"/>
        <v>865.49804375978624</v>
      </c>
      <c r="I26" s="80">
        <f t="shared" ca="1" si="3"/>
        <v>882.95919119041935</v>
      </c>
    </row>
    <row r="27" spans="1:9" x14ac:dyDescent="0.25">
      <c r="D27" s="148"/>
      <c r="E27" s="148"/>
      <c r="F27" s="148"/>
      <c r="G27" s="148"/>
      <c r="H27" s="148"/>
    </row>
    <row r="28" spans="1:9" x14ac:dyDescent="0.25">
      <c r="A28" s="62" t="s">
        <v>136</v>
      </c>
    </row>
    <row r="29" spans="1:9" x14ac:dyDescent="0.25">
      <c r="A29" s="62" t="s">
        <v>137</v>
      </c>
      <c r="B29" s="80">
        <f ca="1">NPV(B9,D21:H21)</f>
        <v>4637.1027337820078</v>
      </c>
      <c r="C29" s="79">
        <f ca="1">B29/$B$31</f>
        <v>0.15088220290757026</v>
      </c>
    </row>
    <row r="30" spans="1:9" x14ac:dyDescent="0.25">
      <c r="A30" s="117" t="s">
        <v>138</v>
      </c>
      <c r="B30" s="118">
        <f ca="1">I21/(B9-B10)/(1+B9)^5</f>
        <v>26096.162319503801</v>
      </c>
      <c r="C30" s="119">
        <f ca="1">B30/$B$31</f>
        <v>0.84911779709242974</v>
      </c>
    </row>
    <row r="31" spans="1:9" x14ac:dyDescent="0.25">
      <c r="A31" s="62" t="s">
        <v>139</v>
      </c>
      <c r="B31" s="80">
        <f ca="1">SUM(B29:B30)</f>
        <v>30733.26505328581</v>
      </c>
      <c r="C31" s="79">
        <f ca="1">SUM(C29:C30)</f>
        <v>1</v>
      </c>
    </row>
    <row r="32" spans="1:9" x14ac:dyDescent="0.25">
      <c r="C32" s="78"/>
    </row>
    <row r="33" spans="1:3" x14ac:dyDescent="0.25">
      <c r="A33" s="62" t="s">
        <v>187</v>
      </c>
      <c r="C33" s="78"/>
    </row>
    <row r="34" spans="1:3" x14ac:dyDescent="0.25">
      <c r="A34" s="62" t="s">
        <v>188</v>
      </c>
      <c r="B34" s="80">
        <f ca="1">D22</f>
        <v>11614.341617240014</v>
      </c>
      <c r="C34" s="79">
        <f ca="1">B34/$B$38</f>
        <v>0.37790783364874797</v>
      </c>
    </row>
    <row r="35" spans="1:3" x14ac:dyDescent="0.25">
      <c r="A35" s="62" t="s">
        <v>189</v>
      </c>
      <c r="B35" s="80">
        <f ca="1">NPV(B9,D26:H26)</f>
        <v>3379.272380667107</v>
      </c>
      <c r="C35" s="79">
        <f ca="1">B35/$B$38</f>
        <v>0.10995487706262488</v>
      </c>
    </row>
    <row r="36" spans="1:3" x14ac:dyDescent="0.25">
      <c r="A36" s="62" t="s">
        <v>190</v>
      </c>
      <c r="B36" s="80">
        <f ca="1">I26/B9/(1+B9)^5</f>
        <v>10251.473375566</v>
      </c>
      <c r="C36" s="79">
        <f ca="1">B36/$B$38</f>
        <v>0.33356278149398827</v>
      </c>
    </row>
    <row r="37" spans="1:3" x14ac:dyDescent="0.25">
      <c r="A37" s="117" t="s">
        <v>191</v>
      </c>
      <c r="B37" s="118">
        <f ca="1">I17*B10/B11*(B11-B9)/(B9*(B9-B10))/(1+B9)^5</f>
        <v>5488.1776798126875</v>
      </c>
      <c r="C37" s="119">
        <f ca="1">B37/$B$38</f>
        <v>0.17857450779463882</v>
      </c>
    </row>
    <row r="38" spans="1:3" x14ac:dyDescent="0.25">
      <c r="A38" s="62" t="s">
        <v>139</v>
      </c>
      <c r="B38" s="80">
        <f ca="1">SUM(B34:B37)</f>
        <v>30733.26505328581</v>
      </c>
      <c r="C38" s="79">
        <f ca="1">SUM(C34:C37)</f>
        <v>1</v>
      </c>
    </row>
    <row r="39" spans="1:3" x14ac:dyDescent="0.25">
      <c r="C39" s="78"/>
    </row>
    <row r="40" spans="1:3" x14ac:dyDescent="0.25">
      <c r="A40" s="62" t="s">
        <v>142</v>
      </c>
    </row>
    <row r="41" spans="1:3" x14ac:dyDescent="0.25">
      <c r="A41" s="62" t="s">
        <v>76</v>
      </c>
      <c r="B41" s="80">
        <f ca="1">Target!C40</f>
        <v>350</v>
      </c>
    </row>
    <row r="42" spans="1:3" x14ac:dyDescent="0.25">
      <c r="A42" s="62" t="s">
        <v>206</v>
      </c>
      <c r="B42" s="80">
        <f ca="1">-WACC!B31</f>
        <v>-649.03842162314641</v>
      </c>
    </row>
    <row r="43" spans="1:3" x14ac:dyDescent="0.25">
      <c r="A43" s="62" t="str">
        <f>WACC!A35</f>
        <v>Net debt</v>
      </c>
      <c r="B43" s="80">
        <f ca="1">-WACC!B35</f>
        <v>-631.44491892432711</v>
      </c>
    </row>
    <row r="44" spans="1:3" x14ac:dyDescent="0.25">
      <c r="A44" s="62" t="str">
        <f>WACC!A36</f>
        <v>Pension provision</v>
      </c>
      <c r="B44" s="80">
        <f>-WACC!B36</f>
        <v>-1011.9274625</v>
      </c>
    </row>
    <row r="45" spans="1:3" x14ac:dyDescent="0.25">
      <c r="A45" s="117" t="str">
        <f>WACC!A37</f>
        <v>Other deferred LT liabilities</v>
      </c>
      <c r="B45" s="118">
        <f>-WACC!B37</f>
        <v>-534.19262500000002</v>
      </c>
    </row>
    <row r="46" spans="1:3" x14ac:dyDescent="0.25">
      <c r="A46" s="62" t="str">
        <f>WACC!A38</f>
        <v>Fair value of financial liabilities</v>
      </c>
      <c r="B46" s="80">
        <f ca="1">SUM(B41:B45)</f>
        <v>-2476.6034280474737</v>
      </c>
    </row>
    <row r="48" spans="1:3" x14ac:dyDescent="0.25">
      <c r="A48" s="62" t="s">
        <v>140</v>
      </c>
    </row>
    <row r="49" spans="1:2" x14ac:dyDescent="0.25">
      <c r="A49" s="62" t="s">
        <v>141</v>
      </c>
      <c r="B49" s="80">
        <f ca="1">B31+B46</f>
        <v>28256.661625238336</v>
      </c>
    </row>
    <row r="50" spans="1:2" x14ac:dyDescent="0.25">
      <c r="A50" s="62" t="s">
        <v>33</v>
      </c>
      <c r="B50" s="123">
        <f>Target!C75</f>
        <v>434.10528199999999</v>
      </c>
    </row>
    <row r="51" spans="1:2" x14ac:dyDescent="0.25">
      <c r="A51" s="62" t="str">
        <f>CONCATENATE("Fair value in ",Start!K15," per share")</f>
        <v>Fair value in Euro per share</v>
      </c>
      <c r="B51" s="115">
        <f ca="1">B49/B50</f>
        <v>65.091724972925661</v>
      </c>
    </row>
    <row r="53" spans="1:2" x14ac:dyDescent="0.25">
      <c r="A53" s="62" t="str">
        <f>A51</f>
        <v>Fair value in Euro per share</v>
      </c>
    </row>
    <row r="54" spans="1:2" x14ac:dyDescent="0.25">
      <c r="A54" s="62" t="s">
        <v>143</v>
      </c>
      <c r="B54" s="174">
        <v>65.09</v>
      </c>
    </row>
    <row r="55" spans="1:2" x14ac:dyDescent="0.25">
      <c r="A55" s="62" t="s">
        <v>146</v>
      </c>
      <c r="B55" s="93">
        <f>B56-B54</f>
        <v>12.560000000000002</v>
      </c>
    </row>
    <row r="56" spans="1:2" x14ac:dyDescent="0.25">
      <c r="A56" s="62" t="s">
        <v>144</v>
      </c>
      <c r="B56" s="174">
        <v>77.650000000000006</v>
      </c>
    </row>
    <row r="57" spans="1:2" x14ac:dyDescent="0.25">
      <c r="A57" s="62" t="s">
        <v>147</v>
      </c>
      <c r="B57" s="93">
        <f>B58-B56</f>
        <v>1.1699999999999875</v>
      </c>
    </row>
    <row r="58" spans="1:2" x14ac:dyDescent="0.25">
      <c r="A58" s="62" t="s">
        <v>145</v>
      </c>
      <c r="B58" s="174">
        <v>78.819999999999993</v>
      </c>
    </row>
    <row r="59" spans="1:2" x14ac:dyDescent="0.25">
      <c r="B59" s="8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/>
  </sheetViews>
  <sheetFormatPr defaultRowHeight="15" x14ac:dyDescent="0.25"/>
  <cols>
    <col min="1" max="1" width="25.140625" style="62" customWidth="1"/>
    <col min="2" max="16384" width="9.140625" style="62"/>
  </cols>
  <sheetData>
    <row r="1" spans="1:8" x14ac:dyDescent="0.25">
      <c r="A1" s="105"/>
      <c r="B1" s="105"/>
      <c r="C1" s="105"/>
      <c r="D1" s="105"/>
      <c r="E1" s="105"/>
      <c r="F1" s="105"/>
      <c r="G1" s="105"/>
      <c r="H1" s="105"/>
    </row>
    <row r="2" spans="1:8" x14ac:dyDescent="0.25">
      <c r="A2" s="64" t="str">
        <f>CONCATENATE(Start!K12)</f>
        <v>DEF</v>
      </c>
      <c r="B2" s="64"/>
      <c r="C2" s="64"/>
      <c r="D2" s="64"/>
      <c r="E2" s="64"/>
      <c r="F2" s="64"/>
      <c r="G2" s="64"/>
      <c r="H2" s="64"/>
    </row>
    <row r="3" spans="1:8" x14ac:dyDescent="0.25">
      <c r="A3" s="111" t="str">
        <f>CONCATENATE("(",Start!K15," Millions)")</f>
        <v>(Euro Millions)</v>
      </c>
      <c r="B3" s="64"/>
      <c r="C3" s="64"/>
      <c r="D3" s="64"/>
      <c r="E3" s="64"/>
      <c r="F3" s="64"/>
      <c r="G3" s="64"/>
      <c r="H3" s="111"/>
    </row>
    <row r="4" spans="1:8" x14ac:dyDescent="0.25">
      <c r="A4" s="105" t="str">
        <f>CONCATENATE(Start!H13," ",Start!K13)</f>
        <v xml:space="preserve">Fiscal Year End December </v>
      </c>
      <c r="B4" s="64"/>
      <c r="C4" s="64"/>
      <c r="D4" s="64"/>
      <c r="E4" s="64"/>
      <c r="F4" s="64"/>
      <c r="G4" s="64"/>
      <c r="H4" s="105"/>
    </row>
    <row r="7" spans="1:8" x14ac:dyDescent="0.25">
      <c r="A7" s="62" t="s">
        <v>149</v>
      </c>
    </row>
    <row r="8" spans="1:8" x14ac:dyDescent="0.25">
      <c r="A8" s="62" t="s">
        <v>192</v>
      </c>
      <c r="B8" s="115">
        <f>Acquisition!B11</f>
        <v>71.656000000000006</v>
      </c>
    </row>
    <row r="9" spans="1:8" x14ac:dyDescent="0.25">
      <c r="A9" s="62" t="s">
        <v>123</v>
      </c>
      <c r="B9" s="80">
        <f ca="1">Acquisition!B23</f>
        <v>33932.851515039474</v>
      </c>
    </row>
    <row r="11" spans="1:8" x14ac:dyDescent="0.25">
      <c r="A11" s="62" t="s">
        <v>0</v>
      </c>
      <c r="B11" s="62">
        <f>Target!C7</f>
        <v>1</v>
      </c>
      <c r="C11" s="62">
        <f>Target!D7</f>
        <v>2</v>
      </c>
    </row>
    <row r="13" spans="1:8" x14ac:dyDescent="0.25">
      <c r="A13" s="62" t="s">
        <v>152</v>
      </c>
    </row>
    <row r="14" spans="1:8" x14ac:dyDescent="0.25">
      <c r="A14" s="62" t="s">
        <v>150</v>
      </c>
      <c r="B14" s="116">
        <f ca="1">$B$8/Target!C76</f>
        <v>23.434426043102704</v>
      </c>
      <c r="C14" s="116">
        <f ca="1">$B$8/Target!D76</f>
        <v>21.792144315979716</v>
      </c>
    </row>
    <row r="15" spans="1:8" x14ac:dyDescent="0.25">
      <c r="A15" s="79" t="s">
        <v>151</v>
      </c>
      <c r="B15" s="79">
        <f>Target!C77/'Exit multiples'!$B$8</f>
        <v>1.1701741654571843E-2</v>
      </c>
      <c r="C15" s="79">
        <f>Target!D77/'Exit multiples'!$B$8</f>
        <v>1.2520863570391873E-2</v>
      </c>
    </row>
    <row r="16" spans="1:8" x14ac:dyDescent="0.25">
      <c r="A16" s="62" t="s">
        <v>153</v>
      </c>
      <c r="B16" s="116">
        <f ca="1">$B$8/(Target!C51/Target!C75)</f>
        <v>3.2302165035361448</v>
      </c>
      <c r="C16" s="116">
        <f ca="1">$B$8/(Target!D51/Target!D75)</f>
        <v>2.9089798264399591</v>
      </c>
    </row>
    <row r="18" spans="1:3" x14ac:dyDescent="0.25">
      <c r="A18" s="62" t="s">
        <v>154</v>
      </c>
    </row>
    <row r="19" spans="1:3" x14ac:dyDescent="0.25">
      <c r="A19" s="62" t="s">
        <v>155</v>
      </c>
      <c r="B19" s="116">
        <f ca="1">$B$9/Target!C26</f>
        <v>2.0709388941297493</v>
      </c>
      <c r="C19" s="116">
        <f ca="1">$B$9/Target!D26</f>
        <v>1.97420294959938</v>
      </c>
    </row>
    <row r="20" spans="1:3" x14ac:dyDescent="0.25">
      <c r="A20" s="62" t="s">
        <v>156</v>
      </c>
      <c r="B20" s="116">
        <f ca="1">$B$9/Target!C27</f>
        <v>13.806259294198329</v>
      </c>
      <c r="C20" s="116">
        <f ca="1">$B$9/Target!D27</f>
        <v>13.1613529973292</v>
      </c>
    </row>
    <row r="21" spans="1:3" x14ac:dyDescent="0.25">
      <c r="A21" s="62" t="s">
        <v>157</v>
      </c>
      <c r="B21" s="116">
        <f ca="1">$B$9/Target!C29</f>
        <v>17.476462254337811</v>
      </c>
      <c r="C21" s="116">
        <f ca="1">$B$9/Target!D29</f>
        <v>16.931203628155757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Start</vt:lpstr>
      <vt:lpstr>Acquirer</vt:lpstr>
      <vt:lpstr>Target</vt:lpstr>
      <vt:lpstr>Acquisition</vt:lpstr>
      <vt:lpstr>Synergies</vt:lpstr>
      <vt:lpstr>Consolidation</vt:lpstr>
      <vt:lpstr>WACC</vt:lpstr>
      <vt:lpstr>Value driver</vt:lpstr>
      <vt:lpstr>Exit multiples</vt:lpstr>
    </vt:vector>
  </TitlesOfParts>
  <Company>antill&amp;antill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Antill</dc:creator>
  <cp:lastModifiedBy>Nick</cp:lastModifiedBy>
  <cp:lastPrinted>2003-05-28T14:07:00Z</cp:lastPrinted>
  <dcterms:created xsi:type="dcterms:W3CDTF">2001-06-23T16:36:03Z</dcterms:created>
  <dcterms:modified xsi:type="dcterms:W3CDTF">2019-12-30T11:12:30Z</dcterms:modified>
</cp:coreProperties>
</file>