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1970" windowHeight="3090" tabRatio="843"/>
  </bookViews>
  <sheets>
    <sheet name="Front Page" sheetId="8" r:id="rId1"/>
    <sheet name="Forecast" sheetId="1" r:id="rId2"/>
    <sheet name="Fixed assets" sheetId="13" r:id="rId3"/>
    <sheet name="Discount rate" sheetId="19" r:id="rId4"/>
    <sheet name="CapValVar" sheetId="29" r:id="rId5"/>
  </sheets>
  <definedNames>
    <definedName name="_xlnm.Print_Area" localSheetId="3">'Discount rate'!$A$1:$G$29</definedName>
    <definedName name="_xlnm.Print_Area" localSheetId="1">Forecast!$A$1:$G$68</definedName>
    <definedName name="_xlnm.Print_Titles" localSheetId="4">CapValVar!$1:$7</definedName>
    <definedName name="_xlnm.Print_Titles" localSheetId="1">Forecast!$1:$9</definedName>
  </definedNames>
  <calcPr calcId="145621" fullCalcOnLoad="1" iterate="1"/>
</workbook>
</file>

<file path=xl/calcChain.xml><?xml version="1.0" encoding="utf-8"?>
<calcChain xmlns="http://schemas.openxmlformats.org/spreadsheetml/2006/main">
  <c r="B8" i="1" l="1"/>
  <c r="C8" i="1"/>
  <c r="C14" i="29"/>
  <c r="D14" i="29"/>
  <c r="E14" i="29"/>
  <c r="F14" i="29"/>
  <c r="G14" i="29"/>
  <c r="B14" i="29"/>
  <c r="C13" i="29"/>
  <c r="D13" i="29"/>
  <c r="E13" i="29"/>
  <c r="F13" i="29"/>
  <c r="G13" i="29"/>
  <c r="B13" i="29"/>
  <c r="B20" i="19"/>
  <c r="B21" i="19"/>
  <c r="B22" i="19"/>
  <c r="B31" i="1"/>
  <c r="B33" i="1"/>
  <c r="G32" i="29"/>
  <c r="A4" i="13"/>
  <c r="A4" i="19"/>
  <c r="A2" i="29"/>
  <c r="B10" i="13"/>
  <c r="B11" i="13"/>
  <c r="B24" i="29"/>
  <c r="B54" i="29"/>
  <c r="B53" i="29"/>
  <c r="B52" i="29"/>
  <c r="B43" i="29"/>
  <c r="B42" i="29"/>
  <c r="B41" i="29"/>
  <c r="B27" i="29"/>
  <c r="A8" i="29"/>
  <c r="B11" i="19"/>
  <c r="A2" i="19"/>
  <c r="B13" i="19"/>
  <c r="B14" i="1"/>
  <c r="C14" i="1"/>
  <c r="B19" i="1"/>
  <c r="B13" i="1"/>
  <c r="C13" i="1"/>
  <c r="C27" i="1"/>
  <c r="C19" i="1"/>
  <c r="B15" i="13"/>
  <c r="B12" i="1"/>
  <c r="C12" i="1"/>
  <c r="B20" i="1"/>
  <c r="C20" i="1"/>
  <c r="C17" i="1"/>
  <c r="B12" i="13"/>
  <c r="B13" i="13"/>
  <c r="D61" i="1"/>
  <c r="C11" i="13"/>
  <c r="B46" i="1"/>
  <c r="B30" i="29"/>
  <c r="B15" i="1"/>
  <c r="C15" i="1"/>
  <c r="B15" i="19"/>
  <c r="B52" i="1"/>
  <c r="B53" i="1"/>
  <c r="B42" i="1"/>
  <c r="C49" i="1"/>
  <c r="C23" i="1"/>
  <c r="D23" i="1"/>
  <c r="D24" i="1"/>
  <c r="E24" i="1"/>
  <c r="F24" i="1"/>
  <c r="G24" i="1"/>
  <c r="A8" i="13"/>
  <c r="A5" i="13"/>
  <c r="A2" i="13"/>
  <c r="C62" i="1"/>
  <c r="D66" i="1"/>
  <c r="E66" i="1"/>
  <c r="F66" i="1"/>
  <c r="G66" i="1"/>
  <c r="B18" i="1"/>
  <c r="D15" i="1"/>
  <c r="B21" i="1"/>
  <c r="E15" i="1"/>
  <c r="F15" i="1"/>
  <c r="G15" i="1"/>
  <c r="A2" i="1"/>
  <c r="A4" i="1"/>
  <c r="A5" i="1"/>
  <c r="B49" i="29"/>
  <c r="C24" i="29"/>
  <c r="C29" i="1"/>
  <c r="D13" i="1"/>
  <c r="E13" i="1"/>
  <c r="F13" i="1"/>
  <c r="F29" i="1"/>
  <c r="E23" i="1"/>
  <c r="E61" i="1"/>
  <c r="F61" i="1"/>
  <c r="G61" i="1"/>
  <c r="D17" i="1"/>
  <c r="E17" i="1"/>
  <c r="F17" i="1"/>
  <c r="G17" i="1"/>
  <c r="D27" i="1"/>
  <c r="D19" i="1"/>
  <c r="E19" i="1"/>
  <c r="F19" i="1"/>
  <c r="G19" i="1"/>
  <c r="A4" i="29"/>
  <c r="E27" i="1"/>
  <c r="E58" i="1"/>
  <c r="F23" i="1"/>
  <c r="D29" i="1"/>
  <c r="D58" i="1"/>
  <c r="D49" i="1"/>
  <c r="E49" i="1"/>
  <c r="F49" i="1"/>
  <c r="G49" i="1"/>
  <c r="D11" i="13"/>
  <c r="D24" i="29"/>
  <c r="E29" i="1"/>
  <c r="G23" i="1"/>
  <c r="F27" i="1"/>
  <c r="G27" i="1"/>
  <c r="G13" i="1"/>
  <c r="G29" i="1"/>
  <c r="F58" i="1"/>
  <c r="G58" i="1"/>
  <c r="F24" i="29"/>
  <c r="F11" i="13"/>
  <c r="C45" i="1"/>
  <c r="C59" i="1"/>
  <c r="D20" i="1"/>
  <c r="C30" i="1"/>
  <c r="C57" i="1"/>
  <c r="B16" i="13"/>
  <c r="B17" i="13"/>
  <c r="B27" i="19"/>
  <c r="E11" i="13"/>
  <c r="E24" i="29"/>
  <c r="B14" i="19"/>
  <c r="C10" i="13"/>
  <c r="C41" i="1"/>
  <c r="C28" i="1"/>
  <c r="C31" i="1"/>
  <c r="C36" i="1"/>
  <c r="C44" i="1"/>
  <c r="D12" i="1"/>
  <c r="D14" i="1"/>
  <c r="B16" i="1"/>
  <c r="C16" i="1"/>
  <c r="D16" i="1"/>
  <c r="E16" i="1"/>
  <c r="F16" i="1"/>
  <c r="G16" i="1"/>
  <c r="B16" i="19"/>
  <c r="B35" i="1"/>
  <c r="B23" i="19"/>
  <c r="C22" i="19"/>
  <c r="B8" i="29"/>
  <c r="D8" i="1"/>
  <c r="B8" i="13"/>
  <c r="C21" i="19"/>
  <c r="G17" i="29"/>
  <c r="E17" i="29"/>
  <c r="C17" i="29"/>
  <c r="B17" i="29"/>
  <c r="F17" i="29"/>
  <c r="D17" i="29"/>
  <c r="E14" i="1"/>
  <c r="B22" i="29"/>
  <c r="B17" i="19"/>
  <c r="B28" i="19"/>
  <c r="B23" i="29"/>
  <c r="C43" i="1"/>
  <c r="B25" i="29"/>
  <c r="B38" i="1"/>
  <c r="B22" i="1"/>
  <c r="C22" i="1"/>
  <c r="D22" i="1"/>
  <c r="E22" i="1"/>
  <c r="F22" i="1"/>
  <c r="G22" i="1"/>
  <c r="D28" i="1"/>
  <c r="E12" i="1"/>
  <c r="C12" i="13"/>
  <c r="C15" i="13"/>
  <c r="D30" i="1"/>
  <c r="D57" i="1"/>
  <c r="C13" i="13"/>
  <c r="C42" i="1"/>
  <c r="E20" i="1"/>
  <c r="D45" i="1"/>
  <c r="D59" i="1"/>
  <c r="C8" i="29"/>
  <c r="C8" i="13"/>
  <c r="E8" i="1"/>
  <c r="C30" i="29"/>
  <c r="F20" i="1"/>
  <c r="E45" i="1"/>
  <c r="E59" i="1"/>
  <c r="C23" i="29"/>
  <c r="F12" i="1"/>
  <c r="E28" i="1"/>
  <c r="C25" i="29"/>
  <c r="C16" i="13"/>
  <c r="C17" i="13"/>
  <c r="D41" i="1"/>
  <c r="D10" i="13"/>
  <c r="D31" i="1"/>
  <c r="B29" i="19"/>
  <c r="E15" i="29"/>
  <c r="F15" i="29"/>
  <c r="C15" i="29"/>
  <c r="G15" i="29"/>
  <c r="B15" i="29"/>
  <c r="D15" i="29"/>
  <c r="B31" i="29"/>
  <c r="B26" i="29"/>
  <c r="B32" i="29"/>
  <c r="C23" i="19"/>
  <c r="B25" i="19"/>
  <c r="C18" i="1"/>
  <c r="D43" i="1"/>
  <c r="C46" i="1"/>
  <c r="C20" i="29"/>
  <c r="E20" i="29"/>
  <c r="D20" i="29"/>
  <c r="G20" i="29"/>
  <c r="B20" i="29"/>
  <c r="F20" i="29"/>
  <c r="F14" i="1"/>
  <c r="D8" i="29"/>
  <c r="F8" i="1"/>
  <c r="D8" i="13"/>
  <c r="D30" i="29"/>
  <c r="C22" i="29"/>
  <c r="D36" i="1"/>
  <c r="D44" i="1"/>
  <c r="D46" i="1"/>
  <c r="D42" i="1"/>
  <c r="F28" i="1"/>
  <c r="G12" i="1"/>
  <c r="G28" i="1"/>
  <c r="G20" i="1"/>
  <c r="G45" i="1"/>
  <c r="G59" i="1"/>
  <c r="F45" i="1"/>
  <c r="F59" i="1"/>
  <c r="G14" i="1"/>
  <c r="D18" i="1"/>
  <c r="D12" i="13"/>
  <c r="D13" i="13"/>
  <c r="D15" i="13"/>
  <c r="E30" i="1"/>
  <c r="E57" i="1"/>
  <c r="E31" i="1"/>
  <c r="D25" i="29"/>
  <c r="E8" i="29"/>
  <c r="G8" i="1"/>
  <c r="E8" i="13"/>
  <c r="E41" i="1"/>
  <c r="E10" i="13"/>
  <c r="D22" i="29"/>
  <c r="E36" i="1"/>
  <c r="E44" i="1"/>
  <c r="D23" i="29"/>
  <c r="E30" i="29"/>
  <c r="E43" i="1"/>
  <c r="E25" i="29"/>
  <c r="F25" i="29"/>
  <c r="D16" i="13"/>
  <c r="D17" i="13"/>
  <c r="C32" i="29"/>
  <c r="C26" i="29"/>
  <c r="C31" i="29"/>
  <c r="F8" i="29"/>
  <c r="F8" i="13"/>
  <c r="E46" i="1"/>
  <c r="E18" i="1"/>
  <c r="E42" i="1"/>
  <c r="D31" i="29"/>
  <c r="D32" i="29"/>
  <c r="D26" i="29"/>
  <c r="E12" i="13"/>
  <c r="E15" i="13"/>
  <c r="F30" i="1"/>
  <c r="E13" i="13"/>
  <c r="E16" i="13"/>
  <c r="F42" i="1"/>
  <c r="F10" i="13"/>
  <c r="F41" i="1"/>
  <c r="E17" i="13"/>
  <c r="F57" i="1"/>
  <c r="F31" i="1"/>
  <c r="E23" i="29"/>
  <c r="F30" i="29"/>
  <c r="F43" i="1"/>
  <c r="F12" i="13"/>
  <c r="F13" i="13"/>
  <c r="F15" i="13"/>
  <c r="E22" i="29"/>
  <c r="F36" i="1"/>
  <c r="F44" i="1"/>
  <c r="G41" i="1"/>
  <c r="E31" i="29"/>
  <c r="E26" i="29"/>
  <c r="E32" i="29"/>
  <c r="F18" i="1"/>
  <c r="F46" i="1"/>
  <c r="G30" i="1"/>
  <c r="F16" i="13"/>
  <c r="G42" i="1"/>
  <c r="G57" i="1"/>
  <c r="G31" i="1"/>
  <c r="F17" i="13"/>
  <c r="F23" i="29"/>
  <c r="G30" i="29"/>
  <c r="G43" i="1"/>
  <c r="F22" i="29"/>
  <c r="G36" i="1"/>
  <c r="G44" i="1"/>
  <c r="F26" i="29"/>
  <c r="G22" i="29"/>
  <c r="G26" i="29"/>
  <c r="F32" i="29"/>
  <c r="F31" i="29"/>
  <c r="G18" i="1"/>
  <c r="G46" i="1"/>
  <c r="G31" i="29"/>
  <c r="B16" i="29" l="1"/>
  <c r="C16" i="29"/>
  <c r="D16" i="29"/>
  <c r="E16" i="29"/>
  <c r="F16" i="29"/>
  <c r="G16" i="29"/>
  <c r="B18" i="29"/>
  <c r="C18" i="29"/>
  <c r="D18" i="29"/>
  <c r="E18" i="29"/>
  <c r="F18" i="29"/>
  <c r="G18" i="29"/>
  <c r="B19" i="29"/>
  <c r="C19" i="29"/>
  <c r="D19" i="29"/>
  <c r="E19" i="29"/>
  <c r="F19" i="29"/>
  <c r="G19" i="29"/>
  <c r="C27" i="29"/>
  <c r="D27" i="29"/>
  <c r="E27" i="29"/>
  <c r="F27" i="29"/>
  <c r="G27" i="29"/>
  <c r="B28" i="29"/>
  <c r="C28" i="29"/>
  <c r="D28" i="29"/>
  <c r="E28" i="29"/>
  <c r="F28" i="29"/>
  <c r="G28" i="29"/>
  <c r="B29" i="29"/>
  <c r="C29" i="29"/>
  <c r="D29" i="29"/>
  <c r="E29" i="29"/>
  <c r="F29" i="29"/>
  <c r="G29" i="29"/>
  <c r="B33" i="29"/>
  <c r="C33" i="29"/>
  <c r="D33" i="29"/>
  <c r="E33" i="29"/>
  <c r="F33" i="29"/>
  <c r="G33" i="29"/>
  <c r="B34" i="29"/>
  <c r="C34" i="29"/>
  <c r="D34" i="29"/>
  <c r="E34" i="29"/>
  <c r="F34" i="29"/>
  <c r="G34" i="29"/>
  <c r="B35" i="29"/>
  <c r="C35" i="29"/>
  <c r="D35" i="29"/>
  <c r="E35" i="29"/>
  <c r="F35" i="29"/>
  <c r="G35" i="29"/>
  <c r="B36" i="29"/>
  <c r="C36" i="29"/>
  <c r="D36" i="29"/>
  <c r="E36" i="29"/>
  <c r="F36" i="29"/>
  <c r="G36" i="29"/>
  <c r="B40" i="29"/>
  <c r="B44" i="29"/>
  <c r="B45" i="29"/>
  <c r="C49" i="29"/>
  <c r="B50" i="29"/>
  <c r="C50" i="29"/>
  <c r="B51" i="29"/>
  <c r="C51" i="29"/>
  <c r="B55" i="29"/>
  <c r="B56" i="29"/>
  <c r="C21" i="1"/>
  <c r="D21" i="1"/>
  <c r="E21" i="1"/>
  <c r="F21" i="1"/>
  <c r="G21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7" i="1"/>
  <c r="D37" i="1"/>
  <c r="E37" i="1"/>
  <c r="F37" i="1"/>
  <c r="G37" i="1"/>
  <c r="C38" i="1"/>
  <c r="D38" i="1"/>
  <c r="E38" i="1"/>
  <c r="F38" i="1"/>
  <c r="G38" i="1"/>
  <c r="C48" i="1"/>
  <c r="D48" i="1"/>
  <c r="E48" i="1"/>
  <c r="F48" i="1"/>
  <c r="G48" i="1"/>
  <c r="C50" i="1"/>
  <c r="D50" i="1"/>
  <c r="E50" i="1"/>
  <c r="F50" i="1"/>
  <c r="G50" i="1"/>
  <c r="C51" i="1"/>
  <c r="D51" i="1"/>
  <c r="E51" i="1"/>
  <c r="F51" i="1"/>
  <c r="G51" i="1"/>
  <c r="C52" i="1"/>
  <c r="D52" i="1"/>
  <c r="E52" i="1"/>
  <c r="F52" i="1"/>
  <c r="G52" i="1"/>
  <c r="C53" i="1"/>
  <c r="D53" i="1"/>
  <c r="E53" i="1"/>
  <c r="F53" i="1"/>
  <c r="G53" i="1"/>
  <c r="C56" i="1"/>
  <c r="D56" i="1"/>
  <c r="E56" i="1"/>
  <c r="F56" i="1"/>
  <c r="G56" i="1"/>
  <c r="C60" i="1"/>
  <c r="D60" i="1"/>
  <c r="E60" i="1"/>
  <c r="F60" i="1"/>
  <c r="G60" i="1"/>
  <c r="D62" i="1"/>
  <c r="E62" i="1"/>
  <c r="F62" i="1"/>
  <c r="G62" i="1"/>
  <c r="C63" i="1"/>
  <c r="D63" i="1"/>
  <c r="E63" i="1"/>
  <c r="F63" i="1"/>
  <c r="G63" i="1"/>
  <c r="C67" i="1"/>
  <c r="D67" i="1"/>
  <c r="E67" i="1"/>
  <c r="F67" i="1"/>
  <c r="G67" i="1"/>
  <c r="C68" i="1"/>
  <c r="D68" i="1"/>
  <c r="E68" i="1"/>
  <c r="F68" i="1"/>
  <c r="G68" i="1"/>
</calcChain>
</file>

<file path=xl/comments1.xml><?xml version="1.0" encoding="utf-8"?>
<comments xmlns="http://schemas.openxmlformats.org/spreadsheetml/2006/main">
  <authors>
    <author>Nick Antill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Nick Antill:</t>
        </r>
        <r>
          <rPr>
            <sz val="8"/>
            <color indexed="81"/>
            <rFont val="Tahoma"/>
            <family val="2"/>
          </rPr>
          <t xml:space="preserve">
Run off closing balance sheet for convenience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Nick Antill:</t>
        </r>
        <r>
          <rPr>
            <sz val="8"/>
            <color indexed="81"/>
            <rFont val="Tahoma"/>
            <family val="2"/>
          </rPr>
          <t xml:space="preserve">
Run off closing balance sheet for convenience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Nick Antill:</t>
        </r>
        <r>
          <rPr>
            <sz val="8"/>
            <color indexed="81"/>
            <rFont val="Tahoma"/>
            <family val="2"/>
          </rPr>
          <t xml:space="preserve">
Run off closing balance sheet for convenience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Nick Antill:</t>
        </r>
        <r>
          <rPr>
            <sz val="8"/>
            <color indexed="81"/>
            <rFont val="Tahoma"/>
            <family val="2"/>
          </rPr>
          <t xml:space="preserve">
Run off average net debt</t>
        </r>
      </text>
    </comment>
  </commentList>
</comments>
</file>

<file path=xl/sharedStrings.xml><?xml version="1.0" encoding="utf-8"?>
<sst xmlns="http://schemas.openxmlformats.org/spreadsheetml/2006/main" count="137" uniqueCount="108">
  <si>
    <t>Year</t>
  </si>
  <si>
    <t>Sales growth</t>
  </si>
  <si>
    <t>Net interest rate</t>
  </si>
  <si>
    <t>Taxation rate</t>
  </si>
  <si>
    <t>Fixed asset turn</t>
  </si>
  <si>
    <t>Working capital turn</t>
  </si>
  <si>
    <t>Net debt/equity</t>
  </si>
  <si>
    <t>Input ratios</t>
  </si>
  <si>
    <t>Profit and loss account</t>
  </si>
  <si>
    <t>Sales</t>
  </si>
  <si>
    <t>Net interest</t>
  </si>
  <si>
    <t>Pre-tax profit</t>
  </si>
  <si>
    <t>Taxation</t>
  </si>
  <si>
    <t>Net profit</t>
  </si>
  <si>
    <t>Non-cash working capital</t>
  </si>
  <si>
    <t>Capital employed</t>
  </si>
  <si>
    <t>Net debt</t>
  </si>
  <si>
    <t>Shareholders' funds</t>
  </si>
  <si>
    <t>Cash flow</t>
  </si>
  <si>
    <t>Depreciation</t>
  </si>
  <si>
    <t>Cash flow from operations</t>
  </si>
  <si>
    <t>Capital expenditure</t>
  </si>
  <si>
    <t>Change in working capital</t>
  </si>
  <si>
    <t>EBIT</t>
  </si>
  <si>
    <t>Closing balance sheet</t>
  </si>
  <si>
    <t>Change in net cash/net debt</t>
  </si>
  <si>
    <t>Per share statistics</t>
  </si>
  <si>
    <t>Shares issued (million)</t>
  </si>
  <si>
    <t>DPS</t>
  </si>
  <si>
    <t>Check</t>
  </si>
  <si>
    <t xml:space="preserve"> </t>
  </si>
  <si>
    <t>Company or Project Name:</t>
  </si>
  <si>
    <t>December 31</t>
  </si>
  <si>
    <t>Currency</t>
  </si>
  <si>
    <t>Forecast</t>
  </si>
  <si>
    <t>Fiscal Year Ended</t>
  </si>
  <si>
    <t>EPS</t>
  </si>
  <si>
    <t>Dividends paid</t>
  </si>
  <si>
    <t>EBITDA before R&amp;D</t>
  </si>
  <si>
    <t>R&amp;D</t>
  </si>
  <si>
    <t>R&amp;D % of sales</t>
  </si>
  <si>
    <t>Gross fixed assets</t>
  </si>
  <si>
    <t>Cumulative depreciation</t>
  </si>
  <si>
    <t>Net fixed assets</t>
  </si>
  <si>
    <t>Fixed assets</t>
  </si>
  <si>
    <t>Opening gross fixed assets</t>
  </si>
  <si>
    <t>Retirements</t>
  </si>
  <si>
    <t>Closing gross fixed assets</t>
  </si>
  <si>
    <t>Long term growth of fixed assets</t>
  </si>
  <si>
    <t>Payout ratio</t>
  </si>
  <si>
    <t>Asset life</t>
  </si>
  <si>
    <t>EBITDA margin before R&amp;D</t>
  </si>
  <si>
    <t>Profit from associates</t>
  </si>
  <si>
    <t>Profit from associates/EBIT</t>
  </si>
  <si>
    <t>Minority interest</t>
  </si>
  <si>
    <t>Attributable profit</t>
  </si>
  <si>
    <t>Minority/net profit</t>
  </si>
  <si>
    <t>Provisions</t>
  </si>
  <si>
    <t>Provisions/sales</t>
  </si>
  <si>
    <t>Financial assets</t>
  </si>
  <si>
    <t>Discount rate</t>
  </si>
  <si>
    <t>Risk free rate</t>
  </si>
  <si>
    <t>Equity risk premium</t>
  </si>
  <si>
    <t>Beta</t>
  </si>
  <si>
    <t>Cost of equity</t>
  </si>
  <si>
    <t>Debt premium</t>
  </si>
  <si>
    <t>Gross cost of debt</t>
  </si>
  <si>
    <t>Tax rate</t>
  </si>
  <si>
    <t>Net cost of debt</t>
  </si>
  <si>
    <t>Share price</t>
  </si>
  <si>
    <t>Shares issued (m)</t>
  </si>
  <si>
    <t>Market capitalisation</t>
  </si>
  <si>
    <t>Net debt (book)</t>
  </si>
  <si>
    <t>Enterprise value</t>
  </si>
  <si>
    <t>WACC</t>
  </si>
  <si>
    <t>Terminus</t>
  </si>
  <si>
    <t>Incremental ROCE</t>
  </si>
  <si>
    <t>Long term growth</t>
  </si>
  <si>
    <t>NOPAT</t>
  </si>
  <si>
    <t>Free cash flow</t>
  </si>
  <si>
    <t>Opening operating capital employed</t>
  </si>
  <si>
    <t>Earnings growth</t>
  </si>
  <si>
    <t>Return on opening capital employed</t>
  </si>
  <si>
    <t>Cost of capital</t>
  </si>
  <si>
    <t>Investment spread</t>
  </si>
  <si>
    <t>Economic profit</t>
  </si>
  <si>
    <t>DCF valuation</t>
  </si>
  <si>
    <t>+Financial assets</t>
  </si>
  <si>
    <t>-Minority interests</t>
  </si>
  <si>
    <t>Value per share</t>
  </si>
  <si>
    <t>Economic profit valuation</t>
  </si>
  <si>
    <t>Fiscal Year Ended December 31</t>
  </si>
  <si>
    <t>Discounted Cash Flow with Time Varying WACC</t>
  </si>
  <si>
    <t>Opening net debt</t>
  </si>
  <si>
    <t>Time varying WACC</t>
  </si>
  <si>
    <t>Present value of economic profit</t>
  </si>
  <si>
    <t>Equity value</t>
  </si>
  <si>
    <t>Opening balance sheet</t>
  </si>
  <si>
    <t>PV economic profit</t>
  </si>
  <si>
    <t>Debt/equity</t>
  </si>
  <si>
    <t>Unleveraged Beta</t>
  </si>
  <si>
    <t>Unleveraged cost of equity</t>
  </si>
  <si>
    <t>Euro</t>
  </si>
  <si>
    <t>Leveraged Beta</t>
  </si>
  <si>
    <t>Cost of debt</t>
  </si>
  <si>
    <t>TVW Co</t>
  </si>
  <si>
    <t>Last financial year</t>
  </si>
  <si>
    <t>Time Varying WACC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</si>
</sst>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%"/>
    <numFmt numFmtId="165" formatCode="0.0"/>
    <numFmt numFmtId="167" formatCode="#,##0;\(#,##0\)"/>
    <numFmt numFmtId="169" formatCode="#,##0.00;\(#,##0.00\)"/>
    <numFmt numFmtId="170" formatCode="#,##0.000;\(#,##0.000\)"/>
    <numFmt numFmtId="196" formatCode="_-* #,##0_-;\-* #,##0_-;_-* &quot;-&quot;??_-;_-@_-"/>
    <numFmt numFmtId="198" formatCode="0.0%_);\(0.0%\)"/>
    <numFmt numFmtId="199" formatCode="0.0_);\(0.0\)"/>
  </numFmts>
  <fonts count="17" x14ac:knownFonts="1">
    <font>
      <sz val="10"/>
      <name val="Arial"/>
    </font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0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i/>
      <sz val="10"/>
      <color theme="3" tint="0.3999755851924192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8" fillId="0" borderId="0" xfId="0" applyFont="1"/>
    <xf numFmtId="0" fontId="6" fillId="0" borderId="8" xfId="0" applyFont="1" applyBorder="1"/>
    <xf numFmtId="0" fontId="10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/>
    <xf numFmtId="0" fontId="6" fillId="0" borderId="0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/>
    <xf numFmtId="0" fontId="8" fillId="0" borderId="9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198" fontId="11" fillId="0" borderId="0" xfId="0" applyNumberFormat="1" applyFont="1" applyFill="1"/>
    <xf numFmtId="198" fontId="10" fillId="0" borderId="0" xfId="0" applyNumberFormat="1" applyFont="1" applyFill="1"/>
    <xf numFmtId="167" fontId="6" fillId="0" borderId="0" xfId="0" applyNumberFormat="1" applyFont="1" applyFill="1" applyBorder="1"/>
    <xf numFmtId="167" fontId="6" fillId="0" borderId="0" xfId="0" applyNumberFormat="1" applyFont="1" applyFill="1"/>
    <xf numFmtId="0" fontId="6" fillId="0" borderId="14" xfId="0" applyFont="1" applyBorder="1"/>
    <xf numFmtId="0" fontId="6" fillId="0" borderId="5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167" fontId="6" fillId="0" borderId="6" xfId="0" applyNumberFormat="1" applyFont="1" applyFill="1" applyBorder="1"/>
    <xf numFmtId="2" fontId="6" fillId="0" borderId="0" xfId="0" applyNumberFormat="1" applyFont="1" applyFill="1"/>
    <xf numFmtId="167" fontId="6" fillId="0" borderId="0" xfId="1" applyNumberFormat="1" applyFont="1" applyFill="1"/>
    <xf numFmtId="0" fontId="6" fillId="0" borderId="13" xfId="0" applyFont="1" applyFill="1" applyBorder="1"/>
    <xf numFmtId="0" fontId="6" fillId="0" borderId="11" xfId="0" applyFont="1" applyFill="1" applyBorder="1"/>
    <xf numFmtId="0" fontId="6" fillId="0" borderId="16" xfId="0" applyFont="1" applyFill="1" applyBorder="1"/>
    <xf numFmtId="0" fontId="6" fillId="0" borderId="0" xfId="0" applyFont="1" applyFill="1"/>
    <xf numFmtId="0" fontId="8" fillId="0" borderId="9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6" fillId="0" borderId="9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199" fontId="6" fillId="0" borderId="0" xfId="0" applyNumberFormat="1" applyFont="1" applyFill="1"/>
    <xf numFmtId="199" fontId="7" fillId="0" borderId="0" xfId="0" applyNumberFormat="1" applyFont="1" applyFill="1"/>
    <xf numFmtId="164" fontId="10" fillId="0" borderId="0" xfId="0" applyNumberFormat="1" applyFont="1" applyFill="1"/>
    <xf numFmtId="164" fontId="11" fillId="0" borderId="0" xfId="0" applyNumberFormat="1" applyFont="1" applyFill="1"/>
    <xf numFmtId="164" fontId="10" fillId="0" borderId="0" xfId="2" applyNumberFormat="1" applyFont="1" applyFill="1"/>
    <xf numFmtId="0" fontId="6" fillId="0" borderId="6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/>
    <xf numFmtId="0" fontId="12" fillId="0" borderId="0" xfId="0" applyFont="1" applyFill="1"/>
    <xf numFmtId="170" fontId="12" fillId="0" borderId="0" xfId="0" applyNumberFormat="1" applyFont="1" applyFill="1"/>
    <xf numFmtId="164" fontId="6" fillId="0" borderId="0" xfId="2" applyNumberFormat="1" applyFont="1" applyFill="1"/>
    <xf numFmtId="167" fontId="6" fillId="0" borderId="8" xfId="0" applyNumberFormat="1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Continuous"/>
    </xf>
    <xf numFmtId="2" fontId="6" fillId="0" borderId="6" xfId="2" applyNumberFormat="1" applyFont="1" applyFill="1" applyBorder="1"/>
    <xf numFmtId="164" fontId="10" fillId="0" borderId="6" xfId="2" applyNumberFormat="1" applyFont="1" applyFill="1" applyBorder="1"/>
    <xf numFmtId="3" fontId="6" fillId="0" borderId="0" xfId="2" applyNumberFormat="1" applyFont="1" applyFill="1"/>
    <xf numFmtId="3" fontId="6" fillId="0" borderId="6" xfId="2" applyNumberFormat="1" applyFont="1" applyFill="1" applyBorder="1"/>
    <xf numFmtId="164" fontId="9" fillId="0" borderId="0" xfId="2" applyNumberFormat="1" applyFont="1" applyFill="1"/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8" xfId="0" applyFont="1" applyFill="1" applyBorder="1"/>
    <xf numFmtId="0" fontId="6" fillId="0" borderId="0" xfId="0" quotePrefix="1" applyFont="1" applyFill="1"/>
    <xf numFmtId="169" fontId="6" fillId="0" borderId="0" xfId="0" applyNumberFormat="1" applyFont="1" applyFill="1"/>
    <xf numFmtId="0" fontId="8" fillId="0" borderId="0" xfId="0" applyFont="1" applyFill="1" applyAlignment="1"/>
    <xf numFmtId="167" fontId="6" fillId="0" borderId="8" xfId="1" applyNumberFormat="1" applyFont="1" applyFill="1" applyBorder="1"/>
    <xf numFmtId="0" fontId="8" fillId="0" borderId="0" xfId="0" applyFont="1" applyFill="1" applyBorder="1"/>
    <xf numFmtId="167" fontId="8" fillId="0" borderId="0" xfId="1" applyNumberFormat="1" applyFont="1" applyFill="1"/>
    <xf numFmtId="0" fontId="10" fillId="0" borderId="8" xfId="0" applyFont="1" applyFill="1" applyBorder="1"/>
    <xf numFmtId="196" fontId="6" fillId="0" borderId="0" xfId="1" applyNumberFormat="1" applyFont="1" applyFill="1" applyBorder="1"/>
    <xf numFmtId="164" fontId="10" fillId="0" borderId="0" xfId="2" applyNumberFormat="1" applyFont="1" applyFill="1" applyBorder="1"/>
    <xf numFmtId="1" fontId="6" fillId="0" borderId="8" xfId="0" applyNumberFormat="1" applyFont="1" applyFill="1" applyBorder="1"/>
    <xf numFmtId="1" fontId="6" fillId="0" borderId="8" xfId="0" applyNumberFormat="1" applyFont="1" applyFill="1" applyBorder="1" applyAlignment="1">
      <alignment horizontal="right"/>
    </xf>
    <xf numFmtId="196" fontId="8" fillId="0" borderId="0" xfId="1" applyNumberFormat="1" applyFont="1" applyFill="1" applyBorder="1"/>
    <xf numFmtId="196" fontId="8" fillId="0" borderId="0" xfId="1" applyNumberFormat="1" applyFont="1" applyFill="1" applyBorder="1" applyAlignment="1">
      <alignment horizontal="right"/>
    </xf>
    <xf numFmtId="196" fontId="6" fillId="0" borderId="0" xfId="0" applyNumberFormat="1" applyFont="1" applyFill="1"/>
    <xf numFmtId="2" fontId="6" fillId="0" borderId="0" xfId="2" applyNumberFormat="1" applyFont="1" applyFill="1"/>
    <xf numFmtId="10" fontId="10" fillId="0" borderId="8" xfId="0" applyNumberFormat="1" applyFont="1" applyFill="1" applyBorder="1" applyAlignment="1">
      <alignment horizontal="right"/>
    </xf>
    <xf numFmtId="1" fontId="8" fillId="0" borderId="0" xfId="0" applyNumberFormat="1" applyFont="1" applyFill="1"/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9" fontId="14" fillId="0" borderId="0" xfId="2" quotePrefix="1" applyFont="1" applyBorder="1" applyAlignment="1">
      <alignment horizontal="left"/>
    </xf>
    <xf numFmtId="9" fontId="14" fillId="0" borderId="0" xfId="2" applyFont="1" applyBorder="1" applyAlignment="1">
      <alignment horizontal="left"/>
    </xf>
    <xf numFmtId="1" fontId="14" fillId="0" borderId="0" xfId="2" applyNumberFormat="1" applyFont="1" applyBorder="1" applyAlignment="1">
      <alignment horizontal="left"/>
    </xf>
    <xf numFmtId="198" fontId="16" fillId="0" borderId="0" xfId="0" applyNumberFormat="1" applyFont="1" applyFill="1"/>
    <xf numFmtId="165" fontId="15" fillId="0" borderId="0" xfId="0" applyNumberFormat="1" applyFont="1" applyFill="1"/>
    <xf numFmtId="199" fontId="15" fillId="0" borderId="0" xfId="0" applyNumberFormat="1" applyFont="1" applyFill="1"/>
    <xf numFmtId="164" fontId="16" fillId="0" borderId="0" xfId="2" applyNumberFormat="1" applyFont="1" applyFill="1"/>
    <xf numFmtId="0" fontId="14" fillId="0" borderId="9" xfId="0" applyFont="1" applyFill="1" applyBorder="1" applyAlignment="1">
      <alignment horizontal="centerContinuous"/>
    </xf>
    <xf numFmtId="167" fontId="15" fillId="0" borderId="0" xfId="0" applyNumberFormat="1" applyFont="1" applyFill="1"/>
    <xf numFmtId="167" fontId="15" fillId="0" borderId="6" xfId="0" applyNumberFormat="1" applyFont="1" applyFill="1" applyBorder="1"/>
    <xf numFmtId="167" fontId="15" fillId="0" borderId="0" xfId="0" applyNumberFormat="1" applyFont="1" applyFill="1" applyBorder="1"/>
    <xf numFmtId="3" fontId="15" fillId="0" borderId="0" xfId="0" applyNumberFormat="1" applyFont="1" applyFill="1"/>
    <xf numFmtId="2" fontId="15" fillId="0" borderId="0" xfId="0" applyNumberFormat="1" applyFont="1" applyFill="1"/>
    <xf numFmtId="0" fontId="14" fillId="0" borderId="9" xfId="0" applyFont="1" applyBorder="1" applyAlignment="1">
      <alignment horizontal="centerContinuous"/>
    </xf>
    <xf numFmtId="2" fontId="15" fillId="0" borderId="6" xfId="2" applyNumberFormat="1" applyFont="1" applyFill="1" applyBorder="1"/>
    <xf numFmtId="4" fontId="15" fillId="0" borderId="0" xfId="2" applyNumberFormat="1" applyFont="1" applyFill="1"/>
    <xf numFmtId="0" fontId="6" fillId="0" borderId="19" xfId="0" applyFont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485775</xdr:colOff>
      <xdr:row>0</xdr:row>
      <xdr:rowOff>0</xdr:rowOff>
    </xdr:to>
    <xdr:pic>
      <xdr:nvPicPr>
        <xdr:cNvPr id="6172" name="Picture 1" descr="BG_Consulting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K16"/>
  <sheetViews>
    <sheetView showGridLines="0" tabSelected="1" zoomScaleNormal="100" workbookViewId="0"/>
  </sheetViews>
  <sheetFormatPr defaultRowHeight="12.75" x14ac:dyDescent="0.2"/>
  <cols>
    <col min="1" max="1" width="32" style="2" customWidth="1"/>
    <col min="2" max="2" width="18.140625" style="2" customWidth="1"/>
    <col min="3" max="5" width="9.140625" style="2"/>
    <col min="6" max="6" width="9.85546875" style="2" bestFit="1" customWidth="1"/>
    <col min="7" max="12" width="9.140625" style="2"/>
    <col min="13" max="13" width="5.28515625" style="2" customWidth="1"/>
    <col min="14" max="16384" width="9.140625" style="2"/>
  </cols>
  <sheetData>
    <row r="7" spans="3:11" ht="76.5" customHeight="1" x14ac:dyDescent="0.2"/>
    <row r="8" spans="3:11" s="1" customFormat="1" ht="33.75" customHeight="1" x14ac:dyDescent="0.2">
      <c r="C8" s="109" t="s">
        <v>107</v>
      </c>
      <c r="D8" s="110"/>
      <c r="E8" s="110"/>
      <c r="F8" s="110"/>
      <c r="G8" s="110"/>
      <c r="H8" s="110"/>
      <c r="I8" s="110"/>
      <c r="J8" s="110"/>
      <c r="K8" s="111"/>
    </row>
    <row r="10" spans="3:11" x14ac:dyDescent="0.2">
      <c r="C10" s="3"/>
      <c r="D10" s="4"/>
      <c r="E10" s="4"/>
      <c r="F10" s="4"/>
      <c r="G10" s="4"/>
      <c r="H10" s="4"/>
      <c r="I10" s="4"/>
      <c r="J10" s="4"/>
      <c r="K10" s="5"/>
    </row>
    <row r="11" spans="3:11" x14ac:dyDescent="0.2">
      <c r="C11" s="6" t="s">
        <v>31</v>
      </c>
      <c r="D11" s="7"/>
      <c r="E11" s="7"/>
      <c r="F11" s="90" t="s">
        <v>105</v>
      </c>
      <c r="G11" s="7"/>
      <c r="H11" s="7"/>
      <c r="I11" s="7"/>
      <c r="J11" s="7"/>
      <c r="K11" s="8"/>
    </row>
    <row r="12" spans="3:11" x14ac:dyDescent="0.2">
      <c r="C12" s="6"/>
      <c r="D12" s="7"/>
      <c r="E12" s="7"/>
      <c r="F12" s="91"/>
      <c r="G12" s="7"/>
      <c r="H12" s="7"/>
      <c r="I12" s="7"/>
      <c r="J12" s="7"/>
      <c r="K12" s="8"/>
    </row>
    <row r="13" spans="3:11" x14ac:dyDescent="0.2">
      <c r="C13" s="6" t="s">
        <v>35</v>
      </c>
      <c r="D13" s="7"/>
      <c r="E13" s="7"/>
      <c r="F13" s="92" t="s">
        <v>32</v>
      </c>
      <c r="G13" s="7"/>
      <c r="H13" s="7"/>
      <c r="I13" s="7"/>
      <c r="J13" s="7"/>
      <c r="K13" s="8"/>
    </row>
    <row r="14" spans="3:11" x14ac:dyDescent="0.2">
      <c r="C14" s="6" t="s">
        <v>33</v>
      </c>
      <c r="D14" s="7"/>
      <c r="E14" s="7"/>
      <c r="F14" s="93" t="s">
        <v>102</v>
      </c>
      <c r="G14" s="7"/>
      <c r="H14" s="7"/>
      <c r="I14" s="7"/>
      <c r="J14" s="7"/>
      <c r="K14" s="8"/>
    </row>
    <row r="15" spans="3:11" x14ac:dyDescent="0.2">
      <c r="C15" s="6" t="s">
        <v>106</v>
      </c>
      <c r="D15" s="7"/>
      <c r="E15" s="7"/>
      <c r="F15" s="94">
        <v>2011</v>
      </c>
      <c r="G15" s="7"/>
      <c r="H15" s="7"/>
      <c r="I15" s="7"/>
      <c r="J15" s="7"/>
      <c r="K15" s="8"/>
    </row>
    <row r="16" spans="3:11" x14ac:dyDescent="0.2">
      <c r="C16" s="108"/>
      <c r="D16" s="9"/>
      <c r="E16" s="9"/>
      <c r="F16" s="9"/>
      <c r="G16" s="9"/>
      <c r="H16" s="9"/>
      <c r="I16" s="9"/>
      <c r="J16" s="9"/>
      <c r="K16" s="10"/>
    </row>
  </sheetData>
  <mergeCells count="1">
    <mergeCell ref="C8:K8"/>
  </mergeCells>
  <phoneticPr fontId="0" type="noConversion"/>
  <pageMargins left="0.39370078740157483" right="0.39370078740157483" top="0.78740157480314965" bottom="0.78740157480314965" header="0.31496062992125984" footer="0.31496062992125984"/>
  <pageSetup paperSize="9" orientation="landscape" horizontalDpi="4294967292" r:id="rId1"/>
  <headerFooter alignWithMargins="0">
    <oddHeader>&amp;L&amp;"Times New Roman,Regular"&amp;8&amp;F, &amp;A&amp;R&amp;"Times New Roman,Regular"&amp;8&amp;F&amp;A</oddHeader>
    <oddFooter>&amp;L&amp;"Times New Roman,Regular"&amp;8© BG Training 2003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8"/>
  <sheetViews>
    <sheetView showGridLines="0" zoomScaleNormal="100" zoomScaleSheetLayoutView="100" workbookViewId="0">
      <selection activeCell="A8" sqref="A8"/>
    </sheetView>
  </sheetViews>
  <sheetFormatPr defaultRowHeight="12.75" x14ac:dyDescent="0.2"/>
  <cols>
    <col min="1" max="1" width="37.42578125" style="34" bestFit="1" customWidth="1"/>
    <col min="2" max="7" width="9.7109375" style="34" customWidth="1"/>
    <col min="8" max="16384" width="9.140625" style="34"/>
  </cols>
  <sheetData>
    <row r="1" spans="1:8" x14ac:dyDescent="0.2">
      <c r="A1" s="31"/>
      <c r="B1" s="32"/>
      <c r="C1" s="32"/>
      <c r="D1" s="32"/>
      <c r="E1" s="32"/>
      <c r="F1" s="32"/>
      <c r="G1" s="33"/>
    </row>
    <row r="2" spans="1:8" x14ac:dyDescent="0.2">
      <c r="A2" s="35" t="str">
        <f>CONCATENATE('Front Page'!F11)</f>
        <v>TVW Co</v>
      </c>
      <c r="B2" s="36"/>
      <c r="C2" s="36"/>
      <c r="D2" s="36"/>
      <c r="E2" s="36"/>
      <c r="F2" s="36"/>
      <c r="G2" s="37"/>
    </row>
    <row r="3" spans="1:8" x14ac:dyDescent="0.2">
      <c r="A3" s="99" t="s">
        <v>34</v>
      </c>
      <c r="B3" s="36"/>
      <c r="C3" s="36"/>
      <c r="D3" s="36"/>
      <c r="E3" s="36"/>
      <c r="F3" s="36"/>
      <c r="G3" s="37"/>
    </row>
    <row r="4" spans="1:8" x14ac:dyDescent="0.2">
      <c r="A4" s="38" t="str">
        <f>CONCATENATE("(",'Front Page'!F14," Millions, except per share amounts)")</f>
        <v>(Euro Millions, except per share amounts)</v>
      </c>
      <c r="B4" s="36"/>
      <c r="C4" s="36"/>
      <c r="D4" s="36"/>
      <c r="E4" s="36"/>
      <c r="F4" s="36"/>
      <c r="G4" s="37"/>
    </row>
    <row r="5" spans="1:8" x14ac:dyDescent="0.2">
      <c r="A5" s="39" t="str">
        <f>CONCATENATE('Front Page'!C13," ",'Front Page'!F13)</f>
        <v>Fiscal Year Ended December 31</v>
      </c>
      <c r="B5" s="36"/>
      <c r="C5" s="36"/>
      <c r="D5" s="36"/>
      <c r="E5" s="36"/>
      <c r="F5" s="36"/>
      <c r="G5" s="37"/>
    </row>
    <row r="6" spans="1:8" ht="13.5" thickBot="1" x14ac:dyDescent="0.25">
      <c r="A6" s="40"/>
      <c r="B6" s="41"/>
      <c r="C6" s="41"/>
      <c r="D6" s="41"/>
      <c r="E6" s="41"/>
      <c r="F6" s="41"/>
      <c r="G6" s="42"/>
    </row>
    <row r="7" spans="1:8" x14ac:dyDescent="0.2">
      <c r="A7" s="43"/>
      <c r="B7" s="43"/>
      <c r="C7" s="43"/>
      <c r="D7" s="43"/>
      <c r="E7" s="43"/>
      <c r="F7" s="43"/>
      <c r="G7" s="43"/>
    </row>
    <row r="8" spans="1:8" x14ac:dyDescent="0.2">
      <c r="A8" s="43" t="s">
        <v>0</v>
      </c>
      <c r="B8" s="89">
        <f>'Front Page'!F15</f>
        <v>2011</v>
      </c>
      <c r="C8" s="43">
        <f>B8+1</f>
        <v>2012</v>
      </c>
      <c r="D8" s="43">
        <f>C8+1</f>
        <v>2013</v>
      </c>
      <c r="E8" s="43">
        <f>D8+1</f>
        <v>2014</v>
      </c>
      <c r="F8" s="43">
        <f>E8+1</f>
        <v>2015</v>
      </c>
      <c r="G8" s="43">
        <f>F8+1</f>
        <v>2016</v>
      </c>
    </row>
    <row r="10" spans="1:8" ht="13.5" x14ac:dyDescent="0.25">
      <c r="A10" s="44" t="s">
        <v>7</v>
      </c>
    </row>
    <row r="11" spans="1:8" x14ac:dyDescent="0.2">
      <c r="A11" s="45" t="s">
        <v>1</v>
      </c>
      <c r="B11" s="22"/>
      <c r="C11" s="95">
        <v>0.04</v>
      </c>
      <c r="D11" s="95">
        <v>0.04</v>
      </c>
      <c r="E11" s="95">
        <v>0.04</v>
      </c>
      <c r="F11" s="95">
        <v>0.04</v>
      </c>
      <c r="G11" s="95">
        <v>0.04</v>
      </c>
      <c r="H11" s="21"/>
    </row>
    <row r="12" spans="1:8" x14ac:dyDescent="0.2">
      <c r="A12" s="45" t="s">
        <v>51</v>
      </c>
      <c r="B12" s="22">
        <f>B28/B27</f>
        <v>0.5</v>
      </c>
      <c r="C12" s="95">
        <f>B12+0.01</f>
        <v>0.51</v>
      </c>
      <c r="D12" s="95">
        <f>C12+0.01</f>
        <v>0.52</v>
      </c>
      <c r="E12" s="95">
        <f>D12+0.01</f>
        <v>0.53</v>
      </c>
      <c r="F12" s="95">
        <f>E12+0.01</f>
        <v>0.54</v>
      </c>
      <c r="G12" s="95">
        <f>F12+0.01</f>
        <v>0.55000000000000004</v>
      </c>
      <c r="H12" s="21"/>
    </row>
    <row r="13" spans="1:8" x14ac:dyDescent="0.2">
      <c r="A13" s="45" t="s">
        <v>40</v>
      </c>
      <c r="B13" s="22">
        <f>B29/-B27</f>
        <v>0.1</v>
      </c>
      <c r="C13" s="95">
        <f t="shared" ref="C13:G14" si="0">B13</f>
        <v>0.1</v>
      </c>
      <c r="D13" s="95">
        <f t="shared" si="0"/>
        <v>0.1</v>
      </c>
      <c r="E13" s="95">
        <f t="shared" si="0"/>
        <v>0.1</v>
      </c>
      <c r="F13" s="95">
        <f t="shared" si="0"/>
        <v>0.1</v>
      </c>
      <c r="G13" s="95">
        <f t="shared" si="0"/>
        <v>0.1</v>
      </c>
      <c r="H13" s="21"/>
    </row>
    <row r="14" spans="1:8" x14ac:dyDescent="0.2">
      <c r="A14" s="45" t="s">
        <v>53</v>
      </c>
      <c r="B14" s="22">
        <f>B36/B31</f>
        <v>0.04</v>
      </c>
      <c r="C14" s="95">
        <f t="shared" si="0"/>
        <v>0.04</v>
      </c>
      <c r="D14" s="95">
        <f t="shared" si="0"/>
        <v>0.04</v>
      </c>
      <c r="E14" s="95">
        <f t="shared" si="0"/>
        <v>0.04</v>
      </c>
      <c r="F14" s="95">
        <f t="shared" si="0"/>
        <v>0.04</v>
      </c>
      <c r="G14" s="95">
        <f t="shared" si="0"/>
        <v>0.04</v>
      </c>
      <c r="H14" s="21"/>
    </row>
    <row r="15" spans="1:8" x14ac:dyDescent="0.2">
      <c r="A15" s="45" t="s">
        <v>2</v>
      </c>
      <c r="B15" s="22">
        <f>B32/-B48</f>
        <v>7.0000000000000007E-2</v>
      </c>
      <c r="C15" s="95">
        <f>B15</f>
        <v>7.0000000000000007E-2</v>
      </c>
      <c r="D15" s="95">
        <f>+C15</f>
        <v>7.0000000000000007E-2</v>
      </c>
      <c r="E15" s="95">
        <f>+D15</f>
        <v>7.0000000000000007E-2</v>
      </c>
      <c r="F15" s="95">
        <f>+E15</f>
        <v>7.0000000000000007E-2</v>
      </c>
      <c r="G15" s="95">
        <f>+F15</f>
        <v>7.0000000000000007E-2</v>
      </c>
      <c r="H15" s="21"/>
    </row>
    <row r="16" spans="1:8" x14ac:dyDescent="0.2">
      <c r="A16" s="45" t="s">
        <v>3</v>
      </c>
      <c r="B16" s="22">
        <f>-B34/B33</f>
        <v>0.34408602150537637</v>
      </c>
      <c r="C16" s="95">
        <f>B16</f>
        <v>0.34408602150537637</v>
      </c>
      <c r="D16" s="95">
        <f t="shared" ref="D16:G17" si="1">C16</f>
        <v>0.34408602150537637</v>
      </c>
      <c r="E16" s="95">
        <f t="shared" si="1"/>
        <v>0.34408602150537637</v>
      </c>
      <c r="F16" s="95">
        <f t="shared" si="1"/>
        <v>0.34408602150537637</v>
      </c>
      <c r="G16" s="95">
        <f t="shared" si="1"/>
        <v>0.34408602150537637</v>
      </c>
      <c r="H16" s="21"/>
    </row>
    <row r="17" spans="1:8" x14ac:dyDescent="0.2">
      <c r="A17" s="45" t="s">
        <v>48</v>
      </c>
      <c r="B17" s="95">
        <v>0.04</v>
      </c>
      <c r="C17" s="95">
        <f>B17</f>
        <v>0.04</v>
      </c>
      <c r="D17" s="95">
        <f t="shared" si="1"/>
        <v>0.04</v>
      </c>
      <c r="E17" s="95">
        <f t="shared" si="1"/>
        <v>0.04</v>
      </c>
      <c r="F17" s="95">
        <f t="shared" si="1"/>
        <v>0.04</v>
      </c>
      <c r="G17" s="95">
        <f t="shared" si="1"/>
        <v>0.04</v>
      </c>
      <c r="H17" s="21"/>
    </row>
    <row r="18" spans="1:8" x14ac:dyDescent="0.2">
      <c r="A18" s="34" t="s">
        <v>4</v>
      </c>
      <c r="B18" s="46">
        <f t="shared" ref="B18:G18" si="2">B27/B43</f>
        <v>1.25</v>
      </c>
      <c r="C18" s="46">
        <f t="shared" si="2"/>
        <v>1.223529411764706</v>
      </c>
      <c r="D18" s="46">
        <f t="shared" si="2"/>
        <v>1.1984571969095765</v>
      </c>
      <c r="E18" s="46">
        <f t="shared" si="2"/>
        <v>1.1752761339172579</v>
      </c>
      <c r="F18" s="46">
        <f t="shared" si="2"/>
        <v>1.1542827686585651</v>
      </c>
      <c r="G18" s="46">
        <f t="shared" si="2"/>
        <v>1.1356344516695163</v>
      </c>
      <c r="H18" s="47"/>
    </row>
    <row r="19" spans="1:8" x14ac:dyDescent="0.2">
      <c r="A19" s="34" t="s">
        <v>50</v>
      </c>
      <c r="B19" s="46">
        <f>B41/-B30</f>
        <v>10</v>
      </c>
      <c r="C19" s="96">
        <f t="shared" ref="C19:G20" si="3">B19</f>
        <v>10</v>
      </c>
      <c r="D19" s="96">
        <f t="shared" si="3"/>
        <v>10</v>
      </c>
      <c r="E19" s="96">
        <f t="shared" si="3"/>
        <v>10</v>
      </c>
      <c r="F19" s="96">
        <f t="shared" si="3"/>
        <v>10</v>
      </c>
      <c r="G19" s="96">
        <f t="shared" si="3"/>
        <v>10</v>
      </c>
      <c r="H19" s="47"/>
    </row>
    <row r="20" spans="1:8" x14ac:dyDescent="0.2">
      <c r="A20" s="34" t="s">
        <v>5</v>
      </c>
      <c r="B20" s="46">
        <f>B27/B45</f>
        <v>12.5</v>
      </c>
      <c r="C20" s="97">
        <f t="shared" si="3"/>
        <v>12.5</v>
      </c>
      <c r="D20" s="97">
        <f t="shared" si="3"/>
        <v>12.5</v>
      </c>
      <c r="E20" s="97">
        <f t="shared" si="3"/>
        <v>12.5</v>
      </c>
      <c r="F20" s="97">
        <f t="shared" si="3"/>
        <v>12.5</v>
      </c>
      <c r="G20" s="97">
        <f t="shared" si="3"/>
        <v>12.5</v>
      </c>
      <c r="H20" s="47"/>
    </row>
    <row r="21" spans="1:8" x14ac:dyDescent="0.2">
      <c r="A21" s="45" t="s">
        <v>6</v>
      </c>
      <c r="B21" s="48">
        <f t="shared" ref="B21:G21" si="4">B48/B51</f>
        <v>0.45454545454545453</v>
      </c>
      <c r="C21" s="48">
        <f t="shared" ca="1" si="4"/>
        <v>0.37538296537875182</v>
      </c>
      <c r="D21" s="48">
        <f t="shared" ca="1" si="4"/>
        <v>0.28354461375822793</v>
      </c>
      <c r="E21" s="48">
        <f t="shared" ca="1" si="4"/>
        <v>0.20394049187957319</v>
      </c>
      <c r="F21" s="48">
        <f t="shared" ca="1" si="4"/>
        <v>0.13381601503756804</v>
      </c>
      <c r="G21" s="48">
        <f t="shared" ca="1" si="4"/>
        <v>7.0996036567484003E-2</v>
      </c>
      <c r="H21" s="49"/>
    </row>
    <row r="22" spans="1:8" x14ac:dyDescent="0.2">
      <c r="A22" s="45" t="s">
        <v>56</v>
      </c>
      <c r="B22" s="48">
        <f>B37/-B35</f>
        <v>3.2786885245901641E-2</v>
      </c>
      <c r="C22" s="48">
        <f>B22</f>
        <v>3.2786885245901641E-2</v>
      </c>
      <c r="D22" s="48">
        <f>C22</f>
        <v>3.2786885245901641E-2</v>
      </c>
      <c r="E22" s="48">
        <f>D22</f>
        <v>3.2786885245901641E-2</v>
      </c>
      <c r="F22" s="48">
        <f>E22</f>
        <v>3.2786885245901641E-2</v>
      </c>
      <c r="G22" s="48">
        <f>F22</f>
        <v>3.2786885245901641E-2</v>
      </c>
      <c r="H22" s="49"/>
    </row>
    <row r="23" spans="1:8" x14ac:dyDescent="0.2">
      <c r="A23" s="45" t="s">
        <v>58</v>
      </c>
      <c r="B23" s="48"/>
      <c r="C23" s="48">
        <f>C58/C27</f>
        <v>4.807692307692308E-3</v>
      </c>
      <c r="D23" s="48">
        <f t="shared" ref="D23:G24" si="5">C23</f>
        <v>4.807692307692308E-3</v>
      </c>
      <c r="E23" s="48">
        <f t="shared" si="5"/>
        <v>4.807692307692308E-3</v>
      </c>
      <c r="F23" s="48">
        <f t="shared" si="5"/>
        <v>4.807692307692308E-3</v>
      </c>
      <c r="G23" s="48">
        <f t="shared" si="5"/>
        <v>4.807692307692308E-3</v>
      </c>
      <c r="H23" s="49"/>
    </row>
    <row r="24" spans="1:8" x14ac:dyDescent="0.2">
      <c r="A24" s="45" t="s">
        <v>49</v>
      </c>
      <c r="B24" s="45"/>
      <c r="C24" s="98">
        <v>0.6</v>
      </c>
      <c r="D24" s="98">
        <f t="shared" si="5"/>
        <v>0.6</v>
      </c>
      <c r="E24" s="98">
        <f t="shared" si="5"/>
        <v>0.6</v>
      </c>
      <c r="F24" s="98">
        <f t="shared" si="5"/>
        <v>0.6</v>
      </c>
      <c r="G24" s="98">
        <f t="shared" si="5"/>
        <v>0.6</v>
      </c>
      <c r="H24" s="47"/>
    </row>
    <row r="25" spans="1:8" x14ac:dyDescent="0.2">
      <c r="C25" s="34" t="s">
        <v>30</v>
      </c>
    </row>
    <row r="26" spans="1:8" x14ac:dyDescent="0.2">
      <c r="A26" s="43" t="s">
        <v>8</v>
      </c>
      <c r="C26" s="24"/>
      <c r="D26" s="24"/>
      <c r="E26" s="24"/>
      <c r="F26" s="24"/>
      <c r="G26" s="24"/>
    </row>
    <row r="27" spans="1:8" x14ac:dyDescent="0.2">
      <c r="A27" s="34" t="s">
        <v>9</v>
      </c>
      <c r="B27" s="100">
        <v>10000</v>
      </c>
      <c r="C27" s="24">
        <f>B27*(1+C11)</f>
        <v>10400</v>
      </c>
      <c r="D27" s="24">
        <f>C27*(1+D11)</f>
        <v>10816</v>
      </c>
      <c r="E27" s="24">
        <f>D27*(1+E11)</f>
        <v>11248.640000000001</v>
      </c>
      <c r="F27" s="24">
        <f>E27*(1+F11)</f>
        <v>11698.585600000002</v>
      </c>
      <c r="G27" s="24">
        <f>F27*(1+G11)</f>
        <v>12166.529024000003</v>
      </c>
    </row>
    <row r="28" spans="1:8" x14ac:dyDescent="0.2">
      <c r="A28" s="34" t="s">
        <v>38</v>
      </c>
      <c r="B28" s="100">
        <v>5000</v>
      </c>
      <c r="C28" s="24">
        <f>C12*C27</f>
        <v>5304</v>
      </c>
      <c r="D28" s="24">
        <f>D12*D27</f>
        <v>5624.3200000000006</v>
      </c>
      <c r="E28" s="24">
        <f>E12*E27</f>
        <v>5961.7792000000009</v>
      </c>
      <c r="F28" s="24">
        <f>F12*F27</f>
        <v>6317.2362240000011</v>
      </c>
      <c r="G28" s="24">
        <f>G12*G27</f>
        <v>6691.5909632000021</v>
      </c>
    </row>
    <row r="29" spans="1:8" x14ac:dyDescent="0.2">
      <c r="A29" s="34" t="s">
        <v>39</v>
      </c>
      <c r="B29" s="100">
        <v>-1000</v>
      </c>
      <c r="C29" s="24">
        <f>C13*-C27</f>
        <v>-1040</v>
      </c>
      <c r="D29" s="24">
        <f>D13*-D27</f>
        <v>-1081.6000000000001</v>
      </c>
      <c r="E29" s="24">
        <f>E13*-E27</f>
        <v>-1124.8640000000003</v>
      </c>
      <c r="F29" s="24">
        <f>F13*-F27</f>
        <v>-1169.8585600000004</v>
      </c>
      <c r="G29" s="24">
        <f>G13*-G27</f>
        <v>-1216.6529024000004</v>
      </c>
    </row>
    <row r="30" spans="1:8" x14ac:dyDescent="0.2">
      <c r="A30" s="51" t="s">
        <v>19</v>
      </c>
      <c r="B30" s="101">
        <v>-1500</v>
      </c>
      <c r="C30" s="28">
        <f>-'Fixed assets'!B15</f>
        <v>-1500</v>
      </c>
      <c r="D30" s="28">
        <f>-'Fixed assets'!C15</f>
        <v>-1575.0635835047954</v>
      </c>
      <c r="E30" s="28">
        <f>-'Fixed assets'!D15</f>
        <v>-1653.8750502546723</v>
      </c>
      <c r="F30" s="28">
        <f>-'Fixed assets'!E15</f>
        <v>-1736.1222355149087</v>
      </c>
      <c r="G30" s="28">
        <f>-'Fixed assets'!F15</f>
        <v>-1821.5189750463244</v>
      </c>
    </row>
    <row r="31" spans="1:8" x14ac:dyDescent="0.2">
      <c r="A31" s="52" t="s">
        <v>23</v>
      </c>
      <c r="B31" s="23">
        <f t="shared" ref="B31:G31" si="6">B28+B29+B30</f>
        <v>2500</v>
      </c>
      <c r="C31" s="23">
        <f t="shared" si="6"/>
        <v>2764</v>
      </c>
      <c r="D31" s="23">
        <f t="shared" si="6"/>
        <v>2967.6564164952051</v>
      </c>
      <c r="E31" s="23">
        <f t="shared" si="6"/>
        <v>3183.0401497453281</v>
      </c>
      <c r="F31" s="23">
        <f t="shared" si="6"/>
        <v>3411.2554284850921</v>
      </c>
      <c r="G31" s="23">
        <f t="shared" si="6"/>
        <v>3653.4190857536778</v>
      </c>
    </row>
    <row r="32" spans="1:8" x14ac:dyDescent="0.2">
      <c r="A32" s="51" t="s">
        <v>10</v>
      </c>
      <c r="B32" s="101">
        <v>-175</v>
      </c>
      <c r="C32" s="28">
        <f ca="1">-C15*(B48+C48)/2</f>
        <v>-169.04770813844718</v>
      </c>
      <c r="D32" s="28">
        <f ca="1">-D15*(C48+D48)/2</f>
        <v>-151.91543043086389</v>
      </c>
      <c r="E32" s="28">
        <f ca="1">-E15*(D48+E48)/2</f>
        <v>-127.81418144778189</v>
      </c>
      <c r="F32" s="28">
        <f ca="1">-F15*(E48+F48)/2</f>
        <v>-99.986484015961892</v>
      </c>
      <c r="G32" s="28">
        <f ca="1">-G15*(F48+G48)/2</f>
        <v>-67.886910439065232</v>
      </c>
    </row>
    <row r="33" spans="1:7" x14ac:dyDescent="0.2">
      <c r="A33" s="52" t="s">
        <v>11</v>
      </c>
      <c r="B33" s="23">
        <f t="shared" ref="B33:G33" si="7">B31+B32</f>
        <v>2325</v>
      </c>
      <c r="C33" s="23">
        <f t="shared" ca="1" si="7"/>
        <v>2594.952291861553</v>
      </c>
      <c r="D33" s="23">
        <f t="shared" ca="1" si="7"/>
        <v>2815.7409860643411</v>
      </c>
      <c r="E33" s="23">
        <f t="shared" ca="1" si="7"/>
        <v>3055.2259682975464</v>
      </c>
      <c r="F33" s="23">
        <f t="shared" ca="1" si="7"/>
        <v>3311.26894446913</v>
      </c>
      <c r="G33" s="23">
        <f t="shared" ca="1" si="7"/>
        <v>3585.5321753146127</v>
      </c>
    </row>
    <row r="34" spans="1:7" x14ac:dyDescent="0.2">
      <c r="A34" s="51" t="s">
        <v>12</v>
      </c>
      <c r="B34" s="101">
        <v>-800</v>
      </c>
      <c r="C34" s="28">
        <f ca="1">C33*-C16</f>
        <v>-892.88681010290009</v>
      </c>
      <c r="D34" s="28">
        <f ca="1">D33*-D16</f>
        <v>-968.85711348450457</v>
      </c>
      <c r="E34" s="28">
        <f ca="1">E33*-E16</f>
        <v>-1051.2605482314138</v>
      </c>
      <c r="F34" s="28">
        <f ca="1">F33*-F16</f>
        <v>-1139.3613572366901</v>
      </c>
      <c r="G34" s="28">
        <f ca="1">G33*-G16</f>
        <v>-1233.7315011835228</v>
      </c>
    </row>
    <row r="35" spans="1:7" x14ac:dyDescent="0.2">
      <c r="A35" s="52" t="s">
        <v>13</v>
      </c>
      <c r="B35" s="23">
        <f t="shared" ref="B35:G35" si="8">B33+B34</f>
        <v>1525</v>
      </c>
      <c r="C35" s="23">
        <f t="shared" ca="1" si="8"/>
        <v>1702.0654817586528</v>
      </c>
      <c r="D35" s="23">
        <f t="shared" ca="1" si="8"/>
        <v>1846.8838725798364</v>
      </c>
      <c r="E35" s="23">
        <f t="shared" ca="1" si="8"/>
        <v>2003.9654200661325</v>
      </c>
      <c r="F35" s="23">
        <f t="shared" ca="1" si="8"/>
        <v>2171.9075872324402</v>
      </c>
      <c r="G35" s="23">
        <f t="shared" ca="1" si="8"/>
        <v>2351.8006741310901</v>
      </c>
    </row>
    <row r="36" spans="1:7" x14ac:dyDescent="0.2">
      <c r="A36" s="52" t="s">
        <v>52</v>
      </c>
      <c r="B36" s="102">
        <v>100</v>
      </c>
      <c r="C36" s="23">
        <f>C14*C31</f>
        <v>110.56</v>
      </c>
      <c r="D36" s="23">
        <f>D14*D31</f>
        <v>118.7062566598082</v>
      </c>
      <c r="E36" s="23">
        <f>E14*E31</f>
        <v>127.32160598981312</v>
      </c>
      <c r="F36" s="23">
        <f>F14*F31</f>
        <v>136.45021713940369</v>
      </c>
      <c r="G36" s="23">
        <f>G14*G31</f>
        <v>146.13676343014711</v>
      </c>
    </row>
    <row r="37" spans="1:7" x14ac:dyDescent="0.2">
      <c r="A37" s="51" t="s">
        <v>54</v>
      </c>
      <c r="B37" s="101">
        <v>-50</v>
      </c>
      <c r="C37" s="28">
        <f ca="1">C35*-C22</f>
        <v>-55.805425631431241</v>
      </c>
      <c r="D37" s="28">
        <f ca="1">D35*-D22</f>
        <v>-60.553569592781521</v>
      </c>
      <c r="E37" s="28">
        <f ca="1">E35*-E22</f>
        <v>-65.703784264463366</v>
      </c>
      <c r="F37" s="28">
        <f ca="1">F35*-F22</f>
        <v>-71.21008482729313</v>
      </c>
      <c r="G37" s="28">
        <f ca="1">G35*-G22</f>
        <v>-77.108218823970176</v>
      </c>
    </row>
    <row r="38" spans="1:7" x14ac:dyDescent="0.2">
      <c r="A38" s="52" t="s">
        <v>55</v>
      </c>
      <c r="B38" s="23">
        <f t="shared" ref="B38:G38" si="9">B35+B36+B37</f>
        <v>1575</v>
      </c>
      <c r="C38" s="23">
        <f t="shared" ca="1" si="9"/>
        <v>1756.8200561272215</v>
      </c>
      <c r="D38" s="23">
        <f t="shared" ca="1" si="9"/>
        <v>1905.036559646863</v>
      </c>
      <c r="E38" s="23">
        <f t="shared" ca="1" si="9"/>
        <v>2065.5832417914826</v>
      </c>
      <c r="F38" s="23">
        <f t="shared" ca="1" si="9"/>
        <v>2237.1477195445509</v>
      </c>
      <c r="G38" s="23">
        <f t="shared" ca="1" si="9"/>
        <v>2420.8292187372672</v>
      </c>
    </row>
    <row r="40" spans="1:7" x14ac:dyDescent="0.2">
      <c r="A40" s="43" t="s">
        <v>24</v>
      </c>
    </row>
    <row r="41" spans="1:7" x14ac:dyDescent="0.2">
      <c r="A41" s="34" t="s">
        <v>41</v>
      </c>
      <c r="B41" s="103">
        <v>15000</v>
      </c>
      <c r="C41" s="53">
        <f>'Fixed assets'!B13</f>
        <v>15750.635835047953</v>
      </c>
      <c r="D41" s="53">
        <f>'Fixed assets'!C13</f>
        <v>16538.750502546722</v>
      </c>
      <c r="E41" s="53">
        <f>'Fixed assets'!D13</f>
        <v>17361.222355149086</v>
      </c>
      <c r="F41" s="53">
        <f>'Fixed assets'!E13</f>
        <v>18215.189750463243</v>
      </c>
      <c r="G41" s="53">
        <f>'Fixed assets'!F13</f>
        <v>19098.029394994537</v>
      </c>
    </row>
    <row r="42" spans="1:7" x14ac:dyDescent="0.2">
      <c r="A42" s="51" t="s">
        <v>42</v>
      </c>
      <c r="B42" s="28">
        <f>B43-B41</f>
        <v>-7000</v>
      </c>
      <c r="C42" s="28">
        <f>-'Fixed assets'!B16</f>
        <v>-7250.6358350479541</v>
      </c>
      <c r="D42" s="28">
        <f>-'Fixed assets'!C16</f>
        <v>-7513.8140860515186</v>
      </c>
      <c r="E42" s="28">
        <f>-'Fixed assets'!D16</f>
        <v>-7790.1609889085576</v>
      </c>
      <c r="F42" s="28">
        <f>-'Fixed assets'!E16</f>
        <v>-8080.2506197376251</v>
      </c>
      <c r="G42" s="28">
        <f>-'Fixed assets'!F16</f>
        <v>-8384.6092393152448</v>
      </c>
    </row>
    <row r="43" spans="1:7" x14ac:dyDescent="0.2">
      <c r="A43" s="34" t="s">
        <v>43</v>
      </c>
      <c r="B43" s="100">
        <v>8000</v>
      </c>
      <c r="C43" s="24">
        <f>B43-C61-C57</f>
        <v>8500</v>
      </c>
      <c r="D43" s="24">
        <f>C43-D61-D57</f>
        <v>9024.936416495204</v>
      </c>
      <c r="E43" s="24">
        <f>D43-E61-E57</f>
        <v>9571.0613662405322</v>
      </c>
      <c r="F43" s="24">
        <f>E43-F61-F57</f>
        <v>10134.939130725623</v>
      </c>
      <c r="G43" s="24">
        <f>F43-G61-G57</f>
        <v>10713.420155679298</v>
      </c>
    </row>
    <row r="44" spans="1:7" x14ac:dyDescent="0.2">
      <c r="A44" s="34" t="s">
        <v>59</v>
      </c>
      <c r="B44" s="100">
        <v>500</v>
      </c>
      <c r="C44" s="24">
        <f>B44+C36</f>
        <v>610.55999999999995</v>
      </c>
      <c r="D44" s="24">
        <f>C44+D36</f>
        <v>729.26625665980816</v>
      </c>
      <c r="E44" s="24">
        <f>D44+E36</f>
        <v>856.58786264962123</v>
      </c>
      <c r="F44" s="24">
        <f>E44+F36</f>
        <v>993.03807978902489</v>
      </c>
      <c r="G44" s="24">
        <f>F44+G36</f>
        <v>1139.1748432191721</v>
      </c>
    </row>
    <row r="45" spans="1:7" x14ac:dyDescent="0.2">
      <c r="A45" s="51" t="s">
        <v>14</v>
      </c>
      <c r="B45" s="101">
        <v>800</v>
      </c>
      <c r="C45" s="28">
        <f>C27/C20</f>
        <v>832</v>
      </c>
      <c r="D45" s="28">
        <f>D27/D20</f>
        <v>865.28</v>
      </c>
      <c r="E45" s="28">
        <f>E27/E20</f>
        <v>899.89120000000014</v>
      </c>
      <c r="F45" s="28">
        <f>F27/F20</f>
        <v>935.88684800000021</v>
      </c>
      <c r="G45" s="28">
        <f>G27/G20</f>
        <v>973.32232192000026</v>
      </c>
    </row>
    <row r="46" spans="1:7" x14ac:dyDescent="0.2">
      <c r="A46" s="34" t="s">
        <v>15</v>
      </c>
      <c r="B46" s="24">
        <f t="shared" ref="B46:G46" si="10">+B43+B44+B45</f>
        <v>9300</v>
      </c>
      <c r="C46" s="24">
        <f t="shared" si="10"/>
        <v>9942.56</v>
      </c>
      <c r="D46" s="24">
        <f t="shared" si="10"/>
        <v>10619.482673155013</v>
      </c>
      <c r="E46" s="24">
        <f t="shared" si="10"/>
        <v>11327.540428890154</v>
      </c>
      <c r="F46" s="24">
        <f t="shared" si="10"/>
        <v>12063.864058514648</v>
      </c>
      <c r="G46" s="24">
        <f t="shared" si="10"/>
        <v>12825.917320818471</v>
      </c>
    </row>
    <row r="47" spans="1:7" x14ac:dyDescent="0.2">
      <c r="B47" s="24"/>
      <c r="C47" s="24"/>
      <c r="D47" s="24"/>
      <c r="E47" s="24"/>
      <c r="F47" s="24"/>
      <c r="G47" s="24"/>
    </row>
    <row r="48" spans="1:7" x14ac:dyDescent="0.2">
      <c r="A48" s="34" t="s">
        <v>16</v>
      </c>
      <c r="B48" s="100">
        <v>2500</v>
      </c>
      <c r="C48" s="24">
        <f ca="1">B48-C63</f>
        <v>2329.9345182413472</v>
      </c>
      <c r="D48" s="24">
        <f ca="1">C48-D63</f>
        <v>2010.5063512119068</v>
      </c>
      <c r="E48" s="24">
        <f ca="1">D48-E63</f>
        <v>1641.3274044390041</v>
      </c>
      <c r="F48" s="24">
        <f ca="1">E48-F63</f>
        <v>1215.4292817313353</v>
      </c>
      <c r="G48" s="24">
        <f ca="1">F48-G63</f>
        <v>724.19673081338533</v>
      </c>
    </row>
    <row r="49" spans="1:7" x14ac:dyDescent="0.2">
      <c r="A49" s="34" t="s">
        <v>57</v>
      </c>
      <c r="B49" s="100">
        <v>400</v>
      </c>
      <c r="C49" s="24">
        <f>B49+C58</f>
        <v>450</v>
      </c>
      <c r="D49" s="24">
        <f>C49+D58</f>
        <v>502</v>
      </c>
      <c r="E49" s="24">
        <f>D49+E58</f>
        <v>556.08000000000004</v>
      </c>
      <c r="F49" s="24">
        <f>E49+F58</f>
        <v>612.32320000000004</v>
      </c>
      <c r="G49" s="24">
        <f>F49+G58</f>
        <v>670.81612800000005</v>
      </c>
    </row>
    <row r="50" spans="1:7" x14ac:dyDescent="0.2">
      <c r="A50" s="34" t="s">
        <v>54</v>
      </c>
      <c r="B50" s="100">
        <v>900</v>
      </c>
      <c r="C50" s="24">
        <f ca="1">B50-C37</f>
        <v>955.80542563143126</v>
      </c>
      <c r="D50" s="24">
        <f ca="1">C50-D37</f>
        <v>1016.3589952242128</v>
      </c>
      <c r="E50" s="24">
        <f ca="1">D50-E37</f>
        <v>1082.0627794886761</v>
      </c>
      <c r="F50" s="24">
        <f ca="1">E50-F37</f>
        <v>1153.2728643159692</v>
      </c>
      <c r="G50" s="24">
        <f ca="1">F50-G37</f>
        <v>1230.3810831399394</v>
      </c>
    </row>
    <row r="51" spans="1:7" x14ac:dyDescent="0.2">
      <c r="A51" s="51" t="s">
        <v>17</v>
      </c>
      <c r="B51" s="101">
        <v>5500</v>
      </c>
      <c r="C51" s="28">
        <f ca="1">B51+C38+C62</f>
        <v>6206.8200561272215</v>
      </c>
      <c r="D51" s="28">
        <f ca="1">C51+D38+D62</f>
        <v>7090.6173267188924</v>
      </c>
      <c r="E51" s="28">
        <f ca="1">D51+E38+E62</f>
        <v>8048.0702449624741</v>
      </c>
      <c r="F51" s="28">
        <f ca="1">E51+F38+F62</f>
        <v>9082.8387124673445</v>
      </c>
      <c r="G51" s="28">
        <f ca="1">F51+G38+G62</f>
        <v>10200.523378865146</v>
      </c>
    </row>
    <row r="52" spans="1:7" x14ac:dyDescent="0.2">
      <c r="A52" s="34" t="s">
        <v>15</v>
      </c>
      <c r="B52" s="24">
        <f t="shared" ref="B52:G52" si="11">B48+B49+B50+B51</f>
        <v>9300</v>
      </c>
      <c r="C52" s="24">
        <f t="shared" ca="1" si="11"/>
        <v>9942.56</v>
      </c>
      <c r="D52" s="24">
        <f t="shared" ca="1" si="11"/>
        <v>10619.482673155013</v>
      </c>
      <c r="E52" s="24">
        <f t="shared" ca="1" si="11"/>
        <v>11327.540428890155</v>
      </c>
      <c r="F52" s="24">
        <f t="shared" ca="1" si="11"/>
        <v>12063.86405851465</v>
      </c>
      <c r="G52" s="24">
        <f t="shared" ca="1" si="11"/>
        <v>12825.917320818469</v>
      </c>
    </row>
    <row r="53" spans="1:7" x14ac:dyDescent="0.2">
      <c r="A53" s="54" t="s">
        <v>29</v>
      </c>
      <c r="B53" s="55">
        <f t="shared" ref="B53:G53" si="12">B46-B52</f>
        <v>0</v>
      </c>
      <c r="C53" s="55">
        <f t="shared" ca="1" si="12"/>
        <v>0</v>
      </c>
      <c r="D53" s="55">
        <f t="shared" ca="1" si="12"/>
        <v>0</v>
      </c>
      <c r="E53" s="55">
        <f t="shared" ca="1" si="12"/>
        <v>0</v>
      </c>
      <c r="F53" s="55">
        <f t="shared" ca="1" si="12"/>
        <v>0</v>
      </c>
      <c r="G53" s="55">
        <f t="shared" ca="1" si="12"/>
        <v>0</v>
      </c>
    </row>
    <row r="54" spans="1:7" x14ac:dyDescent="0.2">
      <c r="B54" s="24"/>
      <c r="C54" s="56"/>
      <c r="D54" s="56"/>
      <c r="E54" s="56"/>
      <c r="F54" s="56"/>
      <c r="G54" s="56"/>
    </row>
    <row r="55" spans="1:7" x14ac:dyDescent="0.2">
      <c r="A55" s="43" t="s">
        <v>18</v>
      </c>
      <c r="B55" s="24"/>
      <c r="C55" s="24"/>
      <c r="D55" s="24"/>
      <c r="E55" s="24"/>
      <c r="F55" s="24"/>
      <c r="G55" s="24"/>
    </row>
    <row r="56" spans="1:7" x14ac:dyDescent="0.2">
      <c r="A56" s="34" t="s">
        <v>13</v>
      </c>
      <c r="B56" s="24"/>
      <c r="C56" s="24">
        <f ca="1">C35</f>
        <v>1702.0654817586528</v>
      </c>
      <c r="D56" s="24">
        <f ca="1">D35</f>
        <v>1846.8838725798364</v>
      </c>
      <c r="E56" s="24">
        <f ca="1">E35</f>
        <v>2003.9654200661325</v>
      </c>
      <c r="F56" s="24">
        <f ca="1">F35</f>
        <v>2171.9075872324402</v>
      </c>
      <c r="G56" s="24">
        <f ca="1">G35</f>
        <v>2351.8006741310901</v>
      </c>
    </row>
    <row r="57" spans="1:7" x14ac:dyDescent="0.2">
      <c r="A57" s="52" t="s">
        <v>19</v>
      </c>
      <c r="B57" s="23"/>
      <c r="C57" s="23">
        <f>-C30</f>
        <v>1500</v>
      </c>
      <c r="D57" s="23">
        <f>-D30</f>
        <v>1575.0635835047954</v>
      </c>
      <c r="E57" s="23">
        <f>-E30</f>
        <v>1653.8750502546723</v>
      </c>
      <c r="F57" s="23">
        <f>-F30</f>
        <v>1736.1222355149087</v>
      </c>
      <c r="G57" s="23">
        <f>-G30</f>
        <v>1821.5189750463244</v>
      </c>
    </row>
    <row r="58" spans="1:7" x14ac:dyDescent="0.2">
      <c r="A58" s="52" t="s">
        <v>57</v>
      </c>
      <c r="B58" s="23"/>
      <c r="C58" s="102">
        <v>50</v>
      </c>
      <c r="D58" s="23">
        <f>D23*D27</f>
        <v>52</v>
      </c>
      <c r="E58" s="23">
        <f>E23*E27</f>
        <v>54.080000000000005</v>
      </c>
      <c r="F58" s="23">
        <f>F23*F27</f>
        <v>56.243200000000016</v>
      </c>
      <c r="G58" s="23">
        <f>G23*G27</f>
        <v>58.49292800000002</v>
      </c>
    </row>
    <row r="59" spans="1:7" x14ac:dyDescent="0.2">
      <c r="A59" s="51" t="s">
        <v>22</v>
      </c>
      <c r="B59" s="28"/>
      <c r="C59" s="28">
        <f>-(C45-B45)</f>
        <v>-32</v>
      </c>
      <c r="D59" s="28">
        <f>-(D45-C45)</f>
        <v>-33.279999999999973</v>
      </c>
      <c r="E59" s="28">
        <f>-(E45-D45)</f>
        <v>-34.611200000000167</v>
      </c>
      <c r="F59" s="28">
        <f>-(F45-E45)</f>
        <v>-35.995648000000074</v>
      </c>
      <c r="G59" s="28">
        <f>-(G45-F45)</f>
        <v>-37.435473920000049</v>
      </c>
    </row>
    <row r="60" spans="1:7" x14ac:dyDescent="0.2">
      <c r="A60" s="34" t="s">
        <v>20</v>
      </c>
      <c r="B60" s="24"/>
      <c r="C60" s="24">
        <f ca="1">C56+C57+C58+C59</f>
        <v>3220.0654817586528</v>
      </c>
      <c r="D60" s="24">
        <f ca="1">D56+D57+D58+D59</f>
        <v>3440.6674560846322</v>
      </c>
      <c r="E60" s="24">
        <f ca="1">E56+E57+E58+E59</f>
        <v>3677.3092703208044</v>
      </c>
      <c r="F60" s="24">
        <f ca="1">F56+F57+F58+F59</f>
        <v>3928.2773747473484</v>
      </c>
      <c r="G60" s="24">
        <f ca="1">G56+G57+G58+G59</f>
        <v>4194.3771032574141</v>
      </c>
    </row>
    <row r="61" spans="1:7" x14ac:dyDescent="0.2">
      <c r="A61" s="34" t="s">
        <v>21</v>
      </c>
      <c r="B61" s="24"/>
      <c r="C61" s="100">
        <v>-2000</v>
      </c>
      <c r="D61" s="100">
        <f>C61-100</f>
        <v>-2100</v>
      </c>
      <c r="E61" s="100">
        <f>D61-100</f>
        <v>-2200</v>
      </c>
      <c r="F61" s="100">
        <f>E61-100</f>
        <v>-2300</v>
      </c>
      <c r="G61" s="100">
        <f>F61-100</f>
        <v>-2400</v>
      </c>
    </row>
    <row r="62" spans="1:7" x14ac:dyDescent="0.2">
      <c r="A62" s="51" t="s">
        <v>37</v>
      </c>
      <c r="B62" s="28"/>
      <c r="C62" s="28">
        <f>B68*-C66</f>
        <v>-1050</v>
      </c>
      <c r="D62" s="28">
        <f ca="1">C68*-D66</f>
        <v>-1021.2392890551918</v>
      </c>
      <c r="E62" s="28">
        <f ca="1">D68*-E66</f>
        <v>-1108.1303235479018</v>
      </c>
      <c r="F62" s="28">
        <f ca="1">E68*-F66</f>
        <v>-1202.3792520396796</v>
      </c>
      <c r="G62" s="28">
        <f ca="1">F68*-G66</f>
        <v>-1303.1445523394641</v>
      </c>
    </row>
    <row r="63" spans="1:7" x14ac:dyDescent="0.2">
      <c r="A63" s="34" t="s">
        <v>25</v>
      </c>
      <c r="B63" s="24"/>
      <c r="C63" s="24">
        <f ca="1">C60+C61+C62</f>
        <v>170.06548175865282</v>
      </c>
      <c r="D63" s="24">
        <f ca="1">D60+D61+D62</f>
        <v>319.42816702944049</v>
      </c>
      <c r="E63" s="24">
        <f ca="1">E60+E61+E62</f>
        <v>369.17894677290269</v>
      </c>
      <c r="F63" s="24">
        <f ca="1">F60+F61+F62</f>
        <v>425.89812270766879</v>
      </c>
      <c r="G63" s="24">
        <f ca="1">G60+G61+G62</f>
        <v>491.23255091794999</v>
      </c>
    </row>
    <row r="64" spans="1:7" x14ac:dyDescent="0.2">
      <c r="C64" s="24"/>
      <c r="D64" s="24"/>
    </row>
    <row r="65" spans="1:7" x14ac:dyDescent="0.2">
      <c r="A65" s="43" t="s">
        <v>26</v>
      </c>
    </row>
    <row r="66" spans="1:7" x14ac:dyDescent="0.2">
      <c r="A66" s="34" t="s">
        <v>27</v>
      </c>
      <c r="B66" s="29"/>
      <c r="C66" s="104">
        <v>150</v>
      </c>
      <c r="D66" s="104">
        <f>C66</f>
        <v>150</v>
      </c>
      <c r="E66" s="104">
        <f>D66</f>
        <v>150</v>
      </c>
      <c r="F66" s="104">
        <f>E66</f>
        <v>150</v>
      </c>
      <c r="G66" s="104">
        <f>F66</f>
        <v>150</v>
      </c>
    </row>
    <row r="67" spans="1:7" x14ac:dyDescent="0.2">
      <c r="A67" s="34" t="s">
        <v>36</v>
      </c>
      <c r="B67" s="29"/>
      <c r="C67" s="29">
        <f ca="1">C35/C66</f>
        <v>11.347103211724352</v>
      </c>
      <c r="D67" s="29">
        <f ca="1">D35/D66</f>
        <v>12.312559150532243</v>
      </c>
      <c r="E67" s="29">
        <f ca="1">E35/E66</f>
        <v>13.359769467107551</v>
      </c>
      <c r="F67" s="29">
        <f ca="1">F35/F66</f>
        <v>14.479383914882934</v>
      </c>
      <c r="G67" s="29">
        <f ca="1">G35/G66</f>
        <v>15.678671160873934</v>
      </c>
    </row>
    <row r="68" spans="1:7" x14ac:dyDescent="0.2">
      <c r="A68" s="34" t="s">
        <v>28</v>
      </c>
      <c r="B68" s="104">
        <v>7</v>
      </c>
      <c r="C68" s="29">
        <f ca="1">C67*C24</f>
        <v>6.8082619270346116</v>
      </c>
      <c r="D68" s="29">
        <f ca="1">D67*D24</f>
        <v>7.3875354903193458</v>
      </c>
      <c r="E68" s="29">
        <f ca="1">E67*E24</f>
        <v>8.0158616802645302</v>
      </c>
      <c r="F68" s="29">
        <f ca="1">F67*F24</f>
        <v>8.6876303489297602</v>
      </c>
      <c r="G68" s="29">
        <f ca="1">G67*G24</f>
        <v>9.4072026965243598</v>
      </c>
    </row>
  </sheetData>
  <phoneticPr fontId="0" type="noConversion"/>
  <pageMargins left="0.39370078740157483" right="0.39370078740157483" top="0.78740157480314965" bottom="0.78740157480314965" header="0.31496062992125984" footer="0.31496062992125984"/>
  <pageSetup paperSize="9" scale="93" orientation="landscape" horizontalDpi="4294967293" r:id="rId1"/>
  <headerFooter alignWithMargins="0">
    <oddHeader>&amp;L&amp;"Times New Roman,Regular"&amp;8&amp;F, &amp;A&amp;R&amp;"Times New Roman,Regular"&amp;8&amp;D&amp;T</oddHeader>
    <oddFooter>&amp;L&amp;"Times New Roman,Regular"&amp;8© BG Training 2003</oddFooter>
  </headerFooter>
  <rowBreaks count="2" manualBreakCount="2">
    <brk id="25" max="16383" man="1"/>
    <brk id="54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activeCell="A8" sqref="A8"/>
    </sheetView>
  </sheetViews>
  <sheetFormatPr defaultRowHeight="12.75" x14ac:dyDescent="0.2"/>
  <cols>
    <col min="1" max="1" width="32.140625" customWidth="1"/>
  </cols>
  <sheetData>
    <row r="1" spans="1:6" x14ac:dyDescent="0.2">
      <c r="A1" s="18"/>
      <c r="B1" s="15"/>
      <c r="C1" s="15"/>
      <c r="D1" s="15"/>
      <c r="E1" s="15"/>
      <c r="F1" s="25"/>
    </row>
    <row r="2" spans="1:6" x14ac:dyDescent="0.2">
      <c r="A2" s="19" t="str">
        <f>CONCATENATE('Front Page'!F11)</f>
        <v>TVW Co</v>
      </c>
      <c r="B2" s="16"/>
      <c r="C2" s="16"/>
      <c r="D2" s="16"/>
      <c r="E2" s="16"/>
      <c r="F2" s="26"/>
    </row>
    <row r="3" spans="1:6" x14ac:dyDescent="0.2">
      <c r="A3" s="105" t="s">
        <v>44</v>
      </c>
      <c r="B3" s="16"/>
      <c r="C3" s="16"/>
      <c r="D3" s="16"/>
      <c r="E3" s="16"/>
      <c r="F3" s="26"/>
    </row>
    <row r="4" spans="1:6" x14ac:dyDescent="0.2">
      <c r="A4" s="13" t="str">
        <f>CONCATENATE("(",'Front Page'!F14," Millions, except per share amounts)")</f>
        <v>(Euro Millions, except per share amounts)</v>
      </c>
      <c r="B4" s="16"/>
      <c r="C4" s="16"/>
      <c r="D4" s="16"/>
      <c r="E4" s="16"/>
      <c r="F4" s="26"/>
    </row>
    <row r="5" spans="1:6" x14ac:dyDescent="0.2">
      <c r="A5" s="20" t="str">
        <f>CONCATENATE('Front Page'!C13," ",'Front Page'!F13)</f>
        <v>Fiscal Year Ended December 31</v>
      </c>
      <c r="B5" s="16"/>
      <c r="C5" s="16"/>
      <c r="D5" s="16"/>
      <c r="E5" s="16"/>
      <c r="F5" s="26"/>
    </row>
    <row r="6" spans="1:6" ht="13.5" thickBot="1" x14ac:dyDescent="0.25">
      <c r="A6" s="14"/>
      <c r="B6" s="17"/>
      <c r="C6" s="17"/>
      <c r="D6" s="17"/>
      <c r="E6" s="17"/>
      <c r="F6" s="27"/>
    </row>
    <row r="8" spans="1:6" x14ac:dyDescent="0.2">
      <c r="A8" s="11" t="str">
        <f>Forecast!A8</f>
        <v>Year</v>
      </c>
      <c r="B8" s="11">
        <f>Forecast!C8</f>
        <v>2012</v>
      </c>
      <c r="C8" s="11">
        <f>Forecast!D8</f>
        <v>2013</v>
      </c>
      <c r="D8" s="11">
        <f>Forecast!E8</f>
        <v>2014</v>
      </c>
      <c r="E8" s="11">
        <f>Forecast!F8</f>
        <v>2015</v>
      </c>
      <c r="F8" s="11">
        <f>Forecast!G8</f>
        <v>2016</v>
      </c>
    </row>
    <row r="9" spans="1:6" x14ac:dyDescent="0.2">
      <c r="A9" s="2"/>
      <c r="B9" s="2"/>
      <c r="C9" s="2"/>
      <c r="D9" s="2"/>
      <c r="E9" s="2"/>
      <c r="F9" s="2"/>
    </row>
    <row r="10" spans="1:6" x14ac:dyDescent="0.2">
      <c r="A10" s="12" t="s">
        <v>45</v>
      </c>
      <c r="B10" s="57">
        <f>Forecast!B41</f>
        <v>15000</v>
      </c>
      <c r="C10" s="57">
        <f>B13</f>
        <v>15750.635835047953</v>
      </c>
      <c r="D10" s="57">
        <f>C13</f>
        <v>16538.750502546722</v>
      </c>
      <c r="E10" s="57">
        <f>D13</f>
        <v>17361.222355149086</v>
      </c>
      <c r="F10" s="57">
        <f>E13</f>
        <v>18215.189750463243</v>
      </c>
    </row>
    <row r="11" spans="1:6" x14ac:dyDescent="0.2">
      <c r="A11" s="2" t="s">
        <v>21</v>
      </c>
      <c r="B11" s="24">
        <f>-Forecast!C61</f>
        <v>2000</v>
      </c>
      <c r="C11" s="24">
        <f>-Forecast!D61</f>
        <v>2100</v>
      </c>
      <c r="D11" s="24">
        <f>-Forecast!E61</f>
        <v>2200</v>
      </c>
      <c r="E11" s="24">
        <f>-Forecast!F61</f>
        <v>2300</v>
      </c>
      <c r="F11" s="24">
        <f>-Forecast!G61</f>
        <v>2400</v>
      </c>
    </row>
    <row r="12" spans="1:6" x14ac:dyDescent="0.2">
      <c r="A12" s="2" t="s">
        <v>46</v>
      </c>
      <c r="B12" s="24">
        <f>B10*Forecast!C17/(1-(1+Forecast!C17)^Forecast!C19)</f>
        <v>-1249.3641649520459</v>
      </c>
      <c r="C12" s="24">
        <f>C10*Forecast!D17/(1-(1+Forecast!D17)^Forecast!D19)</f>
        <v>-1311.8853325012303</v>
      </c>
      <c r="D12" s="24">
        <f>D10*Forecast!E17/(1-(1+Forecast!E17)^Forecast!E19)</f>
        <v>-1377.5281473976343</v>
      </c>
      <c r="E12" s="24">
        <f>E10*Forecast!F17/(1-(1+Forecast!F17)^Forecast!F19)</f>
        <v>-1446.032604685842</v>
      </c>
      <c r="F12" s="24">
        <f>F10*Forecast!G17/(1-(1+Forecast!G17)^Forecast!G19)</f>
        <v>-1517.1603554687051</v>
      </c>
    </row>
    <row r="13" spans="1:6" x14ac:dyDescent="0.2">
      <c r="A13" s="12" t="s">
        <v>47</v>
      </c>
      <c r="B13" s="57">
        <f>SUM(B10:B12)</f>
        <v>15750.635835047953</v>
      </c>
      <c r="C13" s="57">
        <f>SUM(C10:C12)</f>
        <v>16538.750502546722</v>
      </c>
      <c r="D13" s="57">
        <f>SUM(D10:D12)</f>
        <v>17361.222355149086</v>
      </c>
      <c r="E13" s="57">
        <f>SUM(E10:E12)</f>
        <v>18215.189750463243</v>
      </c>
      <c r="F13" s="57">
        <f>SUM(F10:F12)</f>
        <v>19098.029394994537</v>
      </c>
    </row>
    <row r="14" spans="1:6" x14ac:dyDescent="0.2">
      <c r="A14" s="2"/>
      <c r="B14" s="34"/>
      <c r="C14" s="34"/>
      <c r="D14" s="34"/>
      <c r="E14" s="34"/>
      <c r="F14" s="34"/>
    </row>
    <row r="15" spans="1:6" x14ac:dyDescent="0.2">
      <c r="A15" s="2" t="s">
        <v>19</v>
      </c>
      <c r="B15" s="24">
        <f>B10/Forecast!C19</f>
        <v>1500</v>
      </c>
      <c r="C15" s="24">
        <f>C10/Forecast!D19</f>
        <v>1575.0635835047954</v>
      </c>
      <c r="D15" s="24">
        <f>D10/Forecast!E19</f>
        <v>1653.8750502546723</v>
      </c>
      <c r="E15" s="24">
        <f>E10/Forecast!F19</f>
        <v>1736.1222355149087</v>
      </c>
      <c r="F15" s="24">
        <f>F10/Forecast!G19</f>
        <v>1821.5189750463244</v>
      </c>
    </row>
    <row r="16" spans="1:6" x14ac:dyDescent="0.2">
      <c r="A16" s="2" t="s">
        <v>42</v>
      </c>
      <c r="B16" s="24">
        <f>-Forecast!B42+'Fixed assets'!B15+B12</f>
        <v>7250.6358350479541</v>
      </c>
      <c r="C16" s="24">
        <f>B16+C15+C12</f>
        <v>7513.8140860515186</v>
      </c>
      <c r="D16" s="24">
        <f>C16+D15+D12</f>
        <v>7790.1609889085576</v>
      </c>
      <c r="E16" s="24">
        <f>D16+E15+E12</f>
        <v>8080.2506197376251</v>
      </c>
      <c r="F16" s="24">
        <f>E16+F15+F12</f>
        <v>8384.6092393152448</v>
      </c>
    </row>
    <row r="17" spans="1:6" x14ac:dyDescent="0.2">
      <c r="A17" s="12" t="s">
        <v>43</v>
      </c>
      <c r="B17" s="57">
        <f>B13-B16</f>
        <v>8500</v>
      </c>
      <c r="C17" s="57">
        <f>C13-C16</f>
        <v>9024.9364164952021</v>
      </c>
      <c r="D17" s="57">
        <f>D13-D16</f>
        <v>9571.0613662405285</v>
      </c>
      <c r="E17" s="57">
        <f>E13-E16</f>
        <v>10134.939130725619</v>
      </c>
      <c r="F17" s="57">
        <f>F13-F16</f>
        <v>10713.420155679292</v>
      </c>
    </row>
  </sheetData>
  <phoneticPr fontId="1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Normal="100" zoomScaleSheetLayoutView="100" workbookViewId="0">
      <selection activeCell="A8" sqref="A8"/>
    </sheetView>
  </sheetViews>
  <sheetFormatPr defaultRowHeight="12.75" x14ac:dyDescent="0.2"/>
  <cols>
    <col min="1" max="1" width="32.7109375" style="34" customWidth="1"/>
    <col min="2" max="7" width="9.7109375" style="34" customWidth="1"/>
    <col min="8" max="16384" width="9.140625" style="34"/>
  </cols>
  <sheetData>
    <row r="1" spans="1:7" x14ac:dyDescent="0.2">
      <c r="A1" s="31"/>
      <c r="B1" s="32"/>
      <c r="C1" s="32"/>
      <c r="D1" s="32"/>
      <c r="E1" s="32"/>
      <c r="F1" s="32"/>
      <c r="G1" s="33"/>
    </row>
    <row r="2" spans="1:7" x14ac:dyDescent="0.2">
      <c r="A2" s="35" t="str">
        <f>'Front Page'!F11</f>
        <v>TVW Co</v>
      </c>
      <c r="B2" s="58"/>
      <c r="C2" s="58"/>
      <c r="D2" s="58"/>
      <c r="E2" s="58"/>
      <c r="F2" s="58"/>
      <c r="G2" s="59"/>
    </row>
    <row r="3" spans="1:7" x14ac:dyDescent="0.2">
      <c r="A3" s="99" t="s">
        <v>60</v>
      </c>
      <c r="B3" s="58"/>
      <c r="C3" s="58"/>
      <c r="D3" s="58"/>
      <c r="E3" s="58"/>
      <c r="F3" s="58"/>
      <c r="G3" s="59"/>
    </row>
    <row r="4" spans="1:7" x14ac:dyDescent="0.2">
      <c r="A4" s="38" t="str">
        <f>'Fixed assets'!A4</f>
        <v>(Euro Millions, except per share amounts)</v>
      </c>
      <c r="B4" s="58"/>
      <c r="C4" s="58"/>
      <c r="D4" s="58"/>
      <c r="E4" s="58"/>
      <c r="F4" s="58"/>
      <c r="G4" s="59"/>
    </row>
    <row r="5" spans="1:7" x14ac:dyDescent="0.2">
      <c r="A5" s="39" t="s">
        <v>91</v>
      </c>
      <c r="B5" s="58"/>
      <c r="C5" s="58"/>
      <c r="D5" s="58"/>
      <c r="E5" s="58"/>
      <c r="F5" s="58"/>
      <c r="G5" s="59"/>
    </row>
    <row r="6" spans="1:7" ht="13.5" thickBot="1" x14ac:dyDescent="0.25">
      <c r="A6" s="40"/>
      <c r="B6" s="60"/>
      <c r="C6" s="60"/>
      <c r="D6" s="60"/>
      <c r="E6" s="60"/>
      <c r="F6" s="60"/>
      <c r="G6" s="61"/>
    </row>
    <row r="8" spans="1:7" x14ac:dyDescent="0.2">
      <c r="A8" s="50" t="s">
        <v>61</v>
      </c>
      <c r="B8" s="98">
        <v>3.5000000000000003E-2</v>
      </c>
      <c r="C8" s="50"/>
    </row>
    <row r="9" spans="1:7" x14ac:dyDescent="0.2">
      <c r="A9" s="50" t="s">
        <v>62</v>
      </c>
      <c r="B9" s="98">
        <v>0.05</v>
      </c>
      <c r="C9" s="50"/>
    </row>
    <row r="10" spans="1:7" x14ac:dyDescent="0.2">
      <c r="A10" s="62" t="s">
        <v>63</v>
      </c>
      <c r="B10" s="106">
        <v>1</v>
      </c>
      <c r="C10" s="50"/>
    </row>
    <row r="11" spans="1:7" x14ac:dyDescent="0.2">
      <c r="A11" s="50" t="s">
        <v>64</v>
      </c>
      <c r="B11" s="50">
        <f>B8+B9*B10</f>
        <v>8.5000000000000006E-2</v>
      </c>
      <c r="C11" s="50"/>
    </row>
    <row r="12" spans="1:7" x14ac:dyDescent="0.2">
      <c r="A12" s="50"/>
      <c r="B12" s="50"/>
      <c r="C12" s="50"/>
    </row>
    <row r="13" spans="1:7" x14ac:dyDescent="0.2">
      <c r="A13" s="50" t="s">
        <v>61</v>
      </c>
      <c r="B13" s="50">
        <f>B8</f>
        <v>3.5000000000000003E-2</v>
      </c>
      <c r="C13" s="50"/>
    </row>
    <row r="14" spans="1:7" x14ac:dyDescent="0.2">
      <c r="A14" s="50" t="s">
        <v>65</v>
      </c>
      <c r="B14" s="50">
        <f>B15-B13</f>
        <v>3.5000000000000003E-2</v>
      </c>
      <c r="C14" s="50"/>
    </row>
    <row r="15" spans="1:7" x14ac:dyDescent="0.2">
      <c r="A15" s="50" t="s">
        <v>66</v>
      </c>
      <c r="B15" s="50">
        <f>Forecast!C15</f>
        <v>7.0000000000000007E-2</v>
      </c>
      <c r="C15" s="50"/>
    </row>
    <row r="16" spans="1:7" x14ac:dyDescent="0.2">
      <c r="A16" s="63" t="s">
        <v>67</v>
      </c>
      <c r="B16" s="63">
        <f>Forecast!G16</f>
        <v>0.34408602150537637</v>
      </c>
      <c r="C16" s="50"/>
    </row>
    <row r="17" spans="1:3" x14ac:dyDescent="0.2">
      <c r="A17" s="50" t="s">
        <v>68</v>
      </c>
      <c r="B17" s="50">
        <f>B15*(1-B16)</f>
        <v>4.5913978494623656E-2</v>
      </c>
      <c r="C17" s="50"/>
    </row>
    <row r="18" spans="1:3" x14ac:dyDescent="0.2">
      <c r="A18" s="50"/>
      <c r="B18" s="50"/>
      <c r="C18" s="50"/>
    </row>
    <row r="19" spans="1:3" x14ac:dyDescent="0.2">
      <c r="A19" s="64" t="s">
        <v>69</v>
      </c>
      <c r="B19" s="107">
        <v>150</v>
      </c>
      <c r="C19" s="50"/>
    </row>
    <row r="20" spans="1:3" x14ac:dyDescent="0.2">
      <c r="A20" s="64" t="s">
        <v>70</v>
      </c>
      <c r="B20" s="64">
        <f>Forecast!C66</f>
        <v>150</v>
      </c>
      <c r="C20" s="50"/>
    </row>
    <row r="21" spans="1:3" x14ac:dyDescent="0.2">
      <c r="A21" s="64" t="s">
        <v>71</v>
      </c>
      <c r="B21" s="64">
        <f>B19*B20</f>
        <v>22500</v>
      </c>
      <c r="C21" s="50">
        <f>B21/B23</f>
        <v>0.9</v>
      </c>
    </row>
    <row r="22" spans="1:3" x14ac:dyDescent="0.2">
      <c r="A22" s="65" t="s">
        <v>72</v>
      </c>
      <c r="B22" s="65">
        <f>Forecast!B48</f>
        <v>2500</v>
      </c>
      <c r="C22" s="63">
        <f>B22/B23</f>
        <v>0.1</v>
      </c>
    </row>
    <row r="23" spans="1:3" x14ac:dyDescent="0.2">
      <c r="A23" s="64" t="s">
        <v>73</v>
      </c>
      <c r="B23" s="64">
        <f>B21+B22</f>
        <v>25000</v>
      </c>
      <c r="C23" s="50">
        <f>SUM(C21:C22)</f>
        <v>1</v>
      </c>
    </row>
    <row r="24" spans="1:3" x14ac:dyDescent="0.2">
      <c r="A24" s="50"/>
      <c r="B24" s="50"/>
      <c r="C24" s="50"/>
    </row>
    <row r="25" spans="1:3" ht="13.5" x14ac:dyDescent="0.25">
      <c r="A25" s="66" t="s">
        <v>74</v>
      </c>
      <c r="B25" s="66">
        <f>B11*C21+B17*C22</f>
        <v>8.1091397849462371E-2</v>
      </c>
      <c r="C25" s="50"/>
    </row>
    <row r="27" spans="1:3" x14ac:dyDescent="0.2">
      <c r="A27" s="50" t="s">
        <v>99</v>
      </c>
      <c r="B27" s="50">
        <f>B22/B21</f>
        <v>0.1111111111111111</v>
      </c>
    </row>
    <row r="28" spans="1:3" x14ac:dyDescent="0.2">
      <c r="A28" s="34" t="s">
        <v>100</v>
      </c>
      <c r="B28" s="29">
        <f>B10/(1+B27*(1-B16))</f>
        <v>0.93207126948775054</v>
      </c>
    </row>
    <row r="29" spans="1:3" x14ac:dyDescent="0.2">
      <c r="A29" s="45" t="s">
        <v>101</v>
      </c>
      <c r="B29" s="48">
        <f>B8+B9*B28</f>
        <v>8.1603563474387533E-2</v>
      </c>
    </row>
  </sheetData>
  <phoneticPr fontId="0" type="noConversion"/>
  <pageMargins left="0.39370078740157483" right="0.39370078740157483" top="0.78740157480314965" bottom="0.78740157480314965" header="0.31496062992125984" footer="0.31496062992125984"/>
  <pageSetup paperSize="9" orientation="landscape" horizontalDpi="4294967293" r:id="rId1"/>
  <headerFooter alignWithMargins="0">
    <oddHeader>&amp;L&amp;"Times New Roman,Regular"&amp;8&amp;F, &amp;A&amp;R&amp;"Times New Roman,Regular"&amp;8&amp;D&amp;T</oddHeader>
    <oddFooter>&amp;L&amp;"times new roman],Regular"&amp;8© BG Training 2003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zoomScaleNormal="100" zoomScaleSheetLayoutView="100" workbookViewId="0">
      <pane ySplit="8" topLeftCell="A9" activePane="bottomLeft" state="frozenSplit"/>
      <selection activeCell="B19" sqref="B19"/>
      <selection pane="bottomLeft"/>
    </sheetView>
  </sheetViews>
  <sheetFormatPr defaultRowHeight="12.75" x14ac:dyDescent="0.2"/>
  <cols>
    <col min="1" max="1" width="32.7109375" style="34" customWidth="1"/>
    <col min="2" max="7" width="9.7109375" style="34" customWidth="1"/>
    <col min="8" max="16384" width="9.140625" style="34"/>
  </cols>
  <sheetData>
    <row r="1" spans="1:7" x14ac:dyDescent="0.2">
      <c r="A1" s="67"/>
      <c r="B1" s="68"/>
      <c r="C1" s="68"/>
      <c r="D1" s="68"/>
      <c r="E1" s="68"/>
      <c r="F1" s="68"/>
      <c r="G1" s="69"/>
    </row>
    <row r="2" spans="1:7" x14ac:dyDescent="0.2">
      <c r="A2" s="35" t="str">
        <f>'Front Page'!F11</f>
        <v>TVW Co</v>
      </c>
      <c r="B2" s="58"/>
      <c r="C2" s="58"/>
      <c r="D2" s="58"/>
      <c r="E2" s="58"/>
      <c r="F2" s="58"/>
      <c r="G2" s="59"/>
    </row>
    <row r="3" spans="1:7" x14ac:dyDescent="0.2">
      <c r="A3" s="99" t="s">
        <v>92</v>
      </c>
      <c r="B3" s="58"/>
      <c r="C3" s="58"/>
      <c r="D3" s="58"/>
      <c r="E3" s="58"/>
      <c r="F3" s="58"/>
      <c r="G3" s="59"/>
    </row>
    <row r="4" spans="1:7" x14ac:dyDescent="0.2">
      <c r="A4" s="38" t="str">
        <f>'Fixed assets'!A4</f>
        <v>(Euro Millions, except per share amounts)</v>
      </c>
      <c r="B4" s="58"/>
      <c r="C4" s="58"/>
      <c r="D4" s="58"/>
      <c r="E4" s="58"/>
      <c r="F4" s="58"/>
      <c r="G4" s="59"/>
    </row>
    <row r="5" spans="1:7" x14ac:dyDescent="0.2">
      <c r="A5" s="39" t="s">
        <v>91</v>
      </c>
      <c r="B5" s="58"/>
      <c r="C5" s="58"/>
      <c r="D5" s="58"/>
      <c r="E5" s="58"/>
      <c r="F5" s="58"/>
      <c r="G5" s="59"/>
    </row>
    <row r="6" spans="1:7" ht="13.5" thickBot="1" x14ac:dyDescent="0.25">
      <c r="A6" s="40"/>
      <c r="B6" s="60"/>
      <c r="C6" s="60"/>
      <c r="D6" s="60"/>
      <c r="E6" s="60"/>
      <c r="F6" s="60"/>
      <c r="G6" s="61"/>
    </row>
    <row r="8" spans="1:7" x14ac:dyDescent="0.2">
      <c r="A8" s="75" t="str">
        <f>Forecast!A8</f>
        <v>Year</v>
      </c>
      <c r="B8" s="75">
        <f>Forecast!C8</f>
        <v>2012</v>
      </c>
      <c r="C8" s="75">
        <f>Forecast!D8</f>
        <v>2013</v>
      </c>
      <c r="D8" s="75">
        <f>Forecast!E8</f>
        <v>2014</v>
      </c>
      <c r="E8" s="75">
        <f>Forecast!F8</f>
        <v>2015</v>
      </c>
      <c r="F8" s="75">
        <f>Forecast!G8</f>
        <v>2016</v>
      </c>
      <c r="G8" s="70" t="s">
        <v>75</v>
      </c>
    </row>
    <row r="9" spans="1:7" x14ac:dyDescent="0.2">
      <c r="G9" s="71"/>
    </row>
    <row r="10" spans="1:7" x14ac:dyDescent="0.2">
      <c r="A10" s="45" t="s">
        <v>76</v>
      </c>
      <c r="B10" s="98">
        <v>0.09</v>
      </c>
      <c r="G10" s="71"/>
    </row>
    <row r="11" spans="1:7" x14ac:dyDescent="0.2">
      <c r="A11" s="45" t="s">
        <v>77</v>
      </c>
      <c r="B11" s="98">
        <v>0.03</v>
      </c>
      <c r="G11" s="71"/>
    </row>
    <row r="12" spans="1:7" x14ac:dyDescent="0.2">
      <c r="G12" s="71"/>
    </row>
    <row r="13" spans="1:7" s="45" customFormat="1" x14ac:dyDescent="0.2">
      <c r="A13" s="45" t="s">
        <v>61</v>
      </c>
      <c r="B13" s="50">
        <f>'Discount rate'!$B8</f>
        <v>3.5000000000000003E-2</v>
      </c>
      <c r="C13" s="50">
        <f>'Discount rate'!$B8</f>
        <v>3.5000000000000003E-2</v>
      </c>
      <c r="D13" s="50">
        <f>'Discount rate'!$B8</f>
        <v>3.5000000000000003E-2</v>
      </c>
      <c r="E13" s="50">
        <f>'Discount rate'!$B8</f>
        <v>3.5000000000000003E-2</v>
      </c>
      <c r="F13" s="50">
        <f>'Discount rate'!$B8</f>
        <v>3.5000000000000003E-2</v>
      </c>
      <c r="G13" s="50">
        <f>'Discount rate'!$B8</f>
        <v>3.5000000000000003E-2</v>
      </c>
    </row>
    <row r="14" spans="1:7" s="45" customFormat="1" x14ac:dyDescent="0.2">
      <c r="A14" s="45" t="s">
        <v>62</v>
      </c>
      <c r="B14" s="50">
        <f>'Discount rate'!$B9</f>
        <v>0.05</v>
      </c>
      <c r="C14" s="50">
        <f>'Discount rate'!$B9</f>
        <v>0.05</v>
      </c>
      <c r="D14" s="50">
        <f>'Discount rate'!$B9</f>
        <v>0.05</v>
      </c>
      <c r="E14" s="50">
        <f>'Discount rate'!$B9</f>
        <v>0.05</v>
      </c>
      <c r="F14" s="50">
        <f>'Discount rate'!$B9</f>
        <v>0.05</v>
      </c>
      <c r="G14" s="50">
        <f>'Discount rate'!$B9</f>
        <v>0.05</v>
      </c>
    </row>
    <row r="15" spans="1:7" x14ac:dyDescent="0.2">
      <c r="A15" s="34" t="s">
        <v>100</v>
      </c>
      <c r="B15" s="87">
        <f>'Discount rate'!$B28</f>
        <v>0.93207126948775054</v>
      </c>
      <c r="C15" s="87">
        <f>'Discount rate'!$B28</f>
        <v>0.93207126948775054</v>
      </c>
      <c r="D15" s="87">
        <f>'Discount rate'!$B28</f>
        <v>0.93207126948775054</v>
      </c>
      <c r="E15" s="87">
        <f>'Discount rate'!$B28</f>
        <v>0.93207126948775054</v>
      </c>
      <c r="F15" s="87">
        <f>'Discount rate'!$B28</f>
        <v>0.93207126948775054</v>
      </c>
      <c r="G15" s="87">
        <f>'Discount rate'!$B28</f>
        <v>0.93207126948775054</v>
      </c>
    </row>
    <row r="16" spans="1:7" x14ac:dyDescent="0.2">
      <c r="A16" s="45" t="s">
        <v>99</v>
      </c>
      <c r="B16" s="50">
        <f t="shared" ref="B16:G16" ca="1" si="0">B27/(B28-B27)</f>
        <v>9.9634143609447029E-2</v>
      </c>
      <c r="C16" s="50">
        <f t="shared" ca="1" si="0"/>
        <v>8.8861967907604228E-2</v>
      </c>
      <c r="D16" s="50">
        <f t="shared" ca="1" si="0"/>
        <v>7.3192786524528292E-2</v>
      </c>
      <c r="E16" s="50">
        <f t="shared" ca="1" si="0"/>
        <v>5.7137223708794843E-2</v>
      </c>
      <c r="F16" s="50">
        <f t="shared" ca="1" si="0"/>
        <v>4.0535896389318891E-2</v>
      </c>
      <c r="G16" s="50">
        <f t="shared" ca="1" si="0"/>
        <v>2.3185717054964115E-2</v>
      </c>
    </row>
    <row r="17" spans="1:7" s="45" customFormat="1" x14ac:dyDescent="0.2">
      <c r="A17" s="45" t="s">
        <v>67</v>
      </c>
      <c r="B17" s="50">
        <f>'Discount rate'!$B16</f>
        <v>0.34408602150537637</v>
      </c>
      <c r="C17" s="50">
        <f>'Discount rate'!$B16</f>
        <v>0.34408602150537637</v>
      </c>
      <c r="D17" s="50">
        <f>'Discount rate'!$B16</f>
        <v>0.34408602150537637</v>
      </c>
      <c r="E17" s="50">
        <f>'Discount rate'!$B16</f>
        <v>0.34408602150537637</v>
      </c>
      <c r="F17" s="50">
        <f>'Discount rate'!$B16</f>
        <v>0.34408602150537637</v>
      </c>
      <c r="G17" s="50">
        <f>'Discount rate'!$B16</f>
        <v>0.34408602150537637</v>
      </c>
    </row>
    <row r="18" spans="1:7" x14ac:dyDescent="0.2">
      <c r="A18" s="34" t="s">
        <v>103</v>
      </c>
      <c r="B18" s="87">
        <f t="shared" ref="B18:G18" ca="1" si="1">B15*(1+B16*(1-B17))</f>
        <v>0.99298345750733441</v>
      </c>
      <c r="C18" s="87">
        <f t="shared" ca="1" si="1"/>
        <v>0.98639779552480489</v>
      </c>
      <c r="D18" s="87">
        <f t="shared" ca="1" si="1"/>
        <v>0.97681830712913797</v>
      </c>
      <c r="E18" s="87">
        <f t="shared" ca="1" si="1"/>
        <v>0.9670026011315459</v>
      </c>
      <c r="F18" s="87">
        <f t="shared" ca="1" si="1"/>
        <v>0.95685323732487304</v>
      </c>
      <c r="G18" s="87">
        <f t="shared" ca="1" si="1"/>
        <v>0.9462460564177898</v>
      </c>
    </row>
    <row r="19" spans="1:7" s="45" customFormat="1" x14ac:dyDescent="0.2">
      <c r="A19" s="45" t="s">
        <v>64</v>
      </c>
      <c r="B19" s="50">
        <f t="shared" ref="B19:G19" ca="1" si="2">B13+B14*B18</f>
        <v>8.4649172875366718E-2</v>
      </c>
      <c r="C19" s="50">
        <f t="shared" ca="1" si="2"/>
        <v>8.4319889776240248E-2</v>
      </c>
      <c r="D19" s="50">
        <f t="shared" ca="1" si="2"/>
        <v>8.3840915356456908E-2</v>
      </c>
      <c r="E19" s="50">
        <f t="shared" ca="1" si="2"/>
        <v>8.3350130056577293E-2</v>
      </c>
      <c r="F19" s="50">
        <f t="shared" ca="1" si="2"/>
        <v>8.2842661866243658E-2</v>
      </c>
      <c r="G19" s="50">
        <f t="shared" ca="1" si="2"/>
        <v>8.2312302820889499E-2</v>
      </c>
    </row>
    <row r="20" spans="1:7" s="45" customFormat="1" x14ac:dyDescent="0.2">
      <c r="A20" s="45" t="s">
        <v>104</v>
      </c>
      <c r="B20" s="50">
        <f>'Discount rate'!$B17</f>
        <v>4.5913978494623656E-2</v>
      </c>
      <c r="C20" s="50">
        <f>'Discount rate'!$B17</f>
        <v>4.5913978494623656E-2</v>
      </c>
      <c r="D20" s="50">
        <f>'Discount rate'!$B17</f>
        <v>4.5913978494623656E-2</v>
      </c>
      <c r="E20" s="50">
        <f>'Discount rate'!$B17</f>
        <v>4.5913978494623656E-2</v>
      </c>
      <c r="F20" s="50">
        <f>'Discount rate'!$B17</f>
        <v>4.5913978494623656E-2</v>
      </c>
      <c r="G20" s="50">
        <f>'Discount rate'!$B17</f>
        <v>4.5913978494623656E-2</v>
      </c>
    </row>
    <row r="21" spans="1:7" x14ac:dyDescent="0.2">
      <c r="G21" s="71"/>
    </row>
    <row r="22" spans="1:7" x14ac:dyDescent="0.2">
      <c r="A22" s="34" t="s">
        <v>78</v>
      </c>
      <c r="B22" s="30">
        <f>Forecast!C31*(1-Forecast!C16)</f>
        <v>1812.9462365591396</v>
      </c>
      <c r="C22" s="30">
        <f>Forecast!D31*(1-Forecast!D16)</f>
        <v>1946.5273269484678</v>
      </c>
      <c r="D22" s="30">
        <f>Forecast!E31*(1-Forecast!E16)</f>
        <v>2087.8005283275807</v>
      </c>
      <c r="E22" s="30">
        <f>Forecast!F31*(1-Forecast!F16)</f>
        <v>2237.4901197590389</v>
      </c>
      <c r="F22" s="30">
        <f>Forecast!G31*(1-Forecast!G16)</f>
        <v>2396.3286476448852</v>
      </c>
      <c r="G22" s="30">
        <f>F22*(1+B11)</f>
        <v>2468.2185070742316</v>
      </c>
    </row>
    <row r="23" spans="1:7" x14ac:dyDescent="0.2">
      <c r="A23" s="34" t="s">
        <v>19</v>
      </c>
      <c r="B23" s="30">
        <f>Forecast!C57</f>
        <v>1500</v>
      </c>
      <c r="C23" s="30">
        <f>Forecast!D57</f>
        <v>1575.0635835047954</v>
      </c>
      <c r="D23" s="30">
        <f>Forecast!E57</f>
        <v>1653.8750502546723</v>
      </c>
      <c r="E23" s="30">
        <f>Forecast!F57</f>
        <v>1736.1222355149087</v>
      </c>
      <c r="F23" s="30">
        <f>Forecast!G57</f>
        <v>1821.5189750463244</v>
      </c>
      <c r="G23" s="30"/>
    </row>
    <row r="24" spans="1:7" x14ac:dyDescent="0.2">
      <c r="A24" s="34" t="s">
        <v>21</v>
      </c>
      <c r="B24" s="30">
        <f>Forecast!C61</f>
        <v>-2000</v>
      </c>
      <c r="C24" s="30">
        <f>Forecast!D61</f>
        <v>-2100</v>
      </c>
      <c r="D24" s="30">
        <f>Forecast!E61</f>
        <v>-2200</v>
      </c>
      <c r="E24" s="30">
        <f>Forecast!F61</f>
        <v>-2300</v>
      </c>
      <c r="F24" s="30">
        <f>Forecast!G61</f>
        <v>-2400</v>
      </c>
      <c r="G24" s="30"/>
    </row>
    <row r="25" spans="1:7" x14ac:dyDescent="0.2">
      <c r="A25" s="34" t="s">
        <v>22</v>
      </c>
      <c r="B25" s="30">
        <f>Forecast!C59</f>
        <v>-32</v>
      </c>
      <c r="C25" s="30">
        <f>Forecast!D59</f>
        <v>-33.279999999999973</v>
      </c>
      <c r="D25" s="30">
        <f>Forecast!E59</f>
        <v>-34.611200000000167</v>
      </c>
      <c r="E25" s="30">
        <f>Forecast!F59</f>
        <v>-35.995648000000074</v>
      </c>
      <c r="F25" s="30">
        <f>Forecast!G59</f>
        <v>-37.435473920000049</v>
      </c>
      <c r="G25" s="30"/>
    </row>
    <row r="26" spans="1:7" x14ac:dyDescent="0.2">
      <c r="A26" s="72" t="s">
        <v>79</v>
      </c>
      <c r="B26" s="76">
        <f>SUM(B22:B25)</f>
        <v>1280.9462365591398</v>
      </c>
      <c r="C26" s="76">
        <f>SUM(C22:C25)</f>
        <v>1388.310910453263</v>
      </c>
      <c r="D26" s="76">
        <f>SUM(D22:D25)</f>
        <v>1507.0643785822526</v>
      </c>
      <c r="E26" s="76">
        <f>SUM(E22:E25)</f>
        <v>1637.6167072739472</v>
      </c>
      <c r="F26" s="76">
        <f>SUM(F22:F25)</f>
        <v>1780.4121487712098</v>
      </c>
      <c r="G26" s="76">
        <f>G22*(1-B11/B10)</f>
        <v>1645.4790047161546</v>
      </c>
    </row>
    <row r="27" spans="1:7" x14ac:dyDescent="0.2">
      <c r="A27" s="52" t="s">
        <v>93</v>
      </c>
      <c r="B27" s="30">
        <f>Forecast!B48</f>
        <v>2500</v>
      </c>
      <c r="C27" s="30">
        <f ca="1">Forecast!C48</f>
        <v>2329.9345182413472</v>
      </c>
      <c r="D27" s="30">
        <f ca="1">Forecast!D48</f>
        <v>2010.5063512119068</v>
      </c>
      <c r="E27" s="30">
        <f ca="1">Forecast!E48</f>
        <v>1641.3274044390041</v>
      </c>
      <c r="F27" s="30">
        <f ca="1">Forecast!F48</f>
        <v>1215.4292817313353</v>
      </c>
      <c r="G27" s="30">
        <f ca="1">Forecast!G48</f>
        <v>724.19673081338533</v>
      </c>
    </row>
    <row r="28" spans="1:7" x14ac:dyDescent="0.2">
      <c r="A28" s="77" t="s">
        <v>73</v>
      </c>
      <c r="B28" s="78">
        <f ca="1">(C28+B26)/(1+B29)</f>
        <v>27591.799953635142</v>
      </c>
      <c r="C28" s="78">
        <f ca="1">(D28+C26)/(1+C29)</f>
        <v>28549.63877534194</v>
      </c>
      <c r="D28" s="78">
        <f ca="1">(E28+D26)/(1+D29)</f>
        <v>29479.147001177433</v>
      </c>
      <c r="E28" s="78">
        <f ca="1">(F28+E26)/(1+E29)</f>
        <v>30367.388943658716</v>
      </c>
      <c r="F28" s="78">
        <f ca="1">(G28+F26)/(1+F29)</f>
        <v>31199.453072842021</v>
      </c>
      <c r="G28" s="78">
        <f ca="1">G26/(G29-B11)</f>
        <v>31958.80246229035</v>
      </c>
    </row>
    <row r="29" spans="1:7" x14ac:dyDescent="0.2">
      <c r="A29" s="79" t="s">
        <v>94</v>
      </c>
      <c r="B29" s="88">
        <f t="shared" ref="B29:G29" ca="1" si="3">B27/B28*B20+(1-B27/B28)*B19</f>
        <v>8.1139507463375365E-2</v>
      </c>
      <c r="C29" s="88">
        <f t="shared" ca="1" si="3"/>
        <v>8.1185585377375524E-2</v>
      </c>
      <c r="D29" s="88">
        <f t="shared" ca="1" si="3"/>
        <v>8.1254261562177063E-2</v>
      </c>
      <c r="E29" s="88">
        <f t="shared" ca="1" si="3"/>
        <v>8.1326743008406421E-2</v>
      </c>
      <c r="F29" s="88">
        <f t="shared" ca="1" si="3"/>
        <v>8.1404040394230659E-2</v>
      </c>
      <c r="G29" s="88">
        <f t="shared" ca="1" si="3"/>
        <v>8.1487505098406937E-2</v>
      </c>
    </row>
    <row r="30" spans="1:7" x14ac:dyDescent="0.2">
      <c r="A30" s="52" t="s">
        <v>80</v>
      </c>
      <c r="B30" s="80">
        <f>Forecast!B46-Forecast!B44</f>
        <v>8800</v>
      </c>
      <c r="C30" s="80">
        <f>B30-SUM(B23:B25)</f>
        <v>9332</v>
      </c>
      <c r="D30" s="80">
        <f>C30-SUM(C23:C25)</f>
        <v>9890.2164164952046</v>
      </c>
      <c r="E30" s="80">
        <f>D30-SUM(D23:D25)</f>
        <v>10470.952566240532</v>
      </c>
      <c r="F30" s="80">
        <f>E30-SUM(E23:E25)</f>
        <v>11070.825978725623</v>
      </c>
      <c r="G30" s="80">
        <f>F30-SUM(F23:F25)</f>
        <v>11686.742477599299</v>
      </c>
    </row>
    <row r="31" spans="1:7" x14ac:dyDescent="0.2">
      <c r="A31" s="81" t="s">
        <v>81</v>
      </c>
      <c r="B31" s="22">
        <f>B22/(Forecast!B31*(1-Forecast!B16))-1</f>
        <v>0.10559999999999992</v>
      </c>
      <c r="C31" s="22">
        <f>C22/B22-1</f>
        <v>7.3681771525038187E-2</v>
      </c>
      <c r="D31" s="22">
        <f>D22/C22-1</f>
        <v>7.257704498841222E-2</v>
      </c>
      <c r="E31" s="22">
        <f>E22/D22-1</f>
        <v>7.1697266764927159E-2</v>
      </c>
      <c r="F31" s="22">
        <f>F22/E22-1</f>
        <v>7.0989599678300319E-2</v>
      </c>
      <c r="G31" s="22">
        <f>G22/F22-1</f>
        <v>3.0000000000000027E-2</v>
      </c>
    </row>
    <row r="32" spans="1:7" x14ac:dyDescent="0.2">
      <c r="A32" s="81" t="s">
        <v>82</v>
      </c>
      <c r="B32" s="22">
        <f>B22/B30</f>
        <v>0.20601661779081132</v>
      </c>
      <c r="C32" s="22">
        <f>C22/C30</f>
        <v>0.20858629735838705</v>
      </c>
      <c r="D32" s="22">
        <f>D22/D30</f>
        <v>0.21109755746552555</v>
      </c>
      <c r="E32" s="22">
        <f>E22/E30</f>
        <v>0.21368544128190836</v>
      </c>
      <c r="F32" s="22">
        <f>F22/F30</f>
        <v>0.21645436864871845</v>
      </c>
      <c r="G32" s="22">
        <f>B10</f>
        <v>0.09</v>
      </c>
    </row>
    <row r="33" spans="1:7" x14ac:dyDescent="0.2">
      <c r="A33" s="81" t="s">
        <v>83</v>
      </c>
      <c r="B33" s="22">
        <f t="shared" ref="B33:G33" ca="1" si="4">B29</f>
        <v>8.1139507463375365E-2</v>
      </c>
      <c r="C33" s="22">
        <f t="shared" ca="1" si="4"/>
        <v>8.1185585377375524E-2</v>
      </c>
      <c r="D33" s="22">
        <f t="shared" ca="1" si="4"/>
        <v>8.1254261562177063E-2</v>
      </c>
      <c r="E33" s="22">
        <f t="shared" ca="1" si="4"/>
        <v>8.1326743008406421E-2</v>
      </c>
      <c r="F33" s="22">
        <f t="shared" ca="1" si="4"/>
        <v>8.1404040394230659E-2</v>
      </c>
      <c r="G33" s="22">
        <f t="shared" ca="1" si="4"/>
        <v>8.1487505098406937E-2</v>
      </c>
    </row>
    <row r="34" spans="1:7" x14ac:dyDescent="0.2">
      <c r="A34" s="81" t="s">
        <v>84</v>
      </c>
      <c r="B34" s="22">
        <f t="shared" ref="B34:G34" ca="1" si="5">B32-B33</f>
        <v>0.12487711032743595</v>
      </c>
      <c r="C34" s="22">
        <f t="shared" ca="1" si="5"/>
        <v>0.12740071198101152</v>
      </c>
      <c r="D34" s="22">
        <f t="shared" ca="1" si="5"/>
        <v>0.12984329590334848</v>
      </c>
      <c r="E34" s="22">
        <f t="shared" ca="1" si="5"/>
        <v>0.13235869827350194</v>
      </c>
      <c r="F34" s="22">
        <f t="shared" ca="1" si="5"/>
        <v>0.13505032825448779</v>
      </c>
      <c r="G34" s="22">
        <f t="shared" ca="1" si="5"/>
        <v>8.5124949015930595E-3</v>
      </c>
    </row>
    <row r="35" spans="1:7" x14ac:dyDescent="0.2">
      <c r="A35" s="72" t="s">
        <v>85</v>
      </c>
      <c r="B35" s="82">
        <f ca="1">B30*B34</f>
        <v>1098.9185708814364</v>
      </c>
      <c r="C35" s="82">
        <f ca="1">C30*C34</f>
        <v>1188.9034442067996</v>
      </c>
      <c r="D35" s="82">
        <f ca="1">D30*D34</f>
        <v>1284.1782967151416</v>
      </c>
      <c r="E35" s="82">
        <f ca="1">E30*E34</f>
        <v>1385.9216513511815</v>
      </c>
      <c r="F35" s="82">
        <f ca="1">F30*F34</f>
        <v>1495.1186824752065</v>
      </c>
      <c r="G35" s="83">
        <f ca="1">G22-G30*G33</f>
        <v>1515.8950198470898</v>
      </c>
    </row>
    <row r="36" spans="1:7" x14ac:dyDescent="0.2">
      <c r="A36" s="77" t="s">
        <v>95</v>
      </c>
      <c r="B36" s="84">
        <f ca="1">(C36+B35)/(1+B33)</f>
        <v>18791.799953635149</v>
      </c>
      <c r="C36" s="84">
        <f ca="1">(D36+C35)/(1+C33)</f>
        <v>19217.638775341948</v>
      </c>
      <c r="D36" s="84">
        <f ca="1">(E36+D35)/(1+D33)</f>
        <v>19588.930584682232</v>
      </c>
      <c r="E36" s="84">
        <f ca="1">(F36+E35)/(1+E33)</f>
        <v>19896.436377418187</v>
      </c>
      <c r="F36" s="84">
        <f ca="1">(G36+F35)/(1+F33)</f>
        <v>20128.6270941164</v>
      </c>
      <c r="G36" s="85">
        <f ca="1">G35/G33+G22*B11/B10*G34/(G33*(G33-B11))</f>
        <v>20272.059984691048</v>
      </c>
    </row>
    <row r="38" spans="1:7" x14ac:dyDescent="0.2">
      <c r="A38" s="43" t="s">
        <v>86</v>
      </c>
    </row>
    <row r="40" spans="1:7" x14ac:dyDescent="0.2">
      <c r="A40" s="34" t="s">
        <v>73</v>
      </c>
      <c r="B40" s="24">
        <f ca="1">B28</f>
        <v>27591.799953635142</v>
      </c>
      <c r="C40" s="50"/>
    </row>
    <row r="41" spans="1:7" x14ac:dyDescent="0.2">
      <c r="A41" s="73" t="s">
        <v>87</v>
      </c>
      <c r="B41" s="24">
        <f>Forecast!B44</f>
        <v>500</v>
      </c>
      <c r="C41" s="50"/>
    </row>
    <row r="42" spans="1:7" x14ac:dyDescent="0.2">
      <c r="A42" s="73" t="s">
        <v>88</v>
      </c>
      <c r="B42" s="24">
        <f>-Forecast!B50</f>
        <v>-900</v>
      </c>
      <c r="C42" s="50"/>
    </row>
    <row r="43" spans="1:7" x14ac:dyDescent="0.2">
      <c r="A43" s="51" t="s">
        <v>16</v>
      </c>
      <c r="B43" s="28">
        <f>-Forecast!B48</f>
        <v>-2500</v>
      </c>
      <c r="C43" s="56"/>
    </row>
    <row r="44" spans="1:7" x14ac:dyDescent="0.2">
      <c r="A44" s="34" t="s">
        <v>96</v>
      </c>
      <c r="B44" s="24">
        <f ca="1">B40+B41+B42+B43</f>
        <v>24691.799953635142</v>
      </c>
    </row>
    <row r="45" spans="1:7" x14ac:dyDescent="0.2">
      <c r="A45" s="34" t="s">
        <v>89</v>
      </c>
      <c r="B45" s="74">
        <f ca="1">B44/Forecast!C66</f>
        <v>164.61199969090094</v>
      </c>
    </row>
    <row r="47" spans="1:7" x14ac:dyDescent="0.2">
      <c r="A47" s="43" t="s">
        <v>90</v>
      </c>
    </row>
    <row r="49" spans="1:3" x14ac:dyDescent="0.2">
      <c r="A49" s="34" t="s">
        <v>97</v>
      </c>
      <c r="B49" s="86">
        <f>B30</f>
        <v>8800</v>
      </c>
      <c r="C49" s="50">
        <f ca="1">B49/B$51</f>
        <v>0.31893533639658844</v>
      </c>
    </row>
    <row r="50" spans="1:3" x14ac:dyDescent="0.2">
      <c r="A50" s="51" t="s">
        <v>98</v>
      </c>
      <c r="B50" s="28">
        <f ca="1">B36</f>
        <v>18791.799953635149</v>
      </c>
      <c r="C50" s="63">
        <f ca="1">B50/B$51</f>
        <v>0.68106466360341156</v>
      </c>
    </row>
    <row r="51" spans="1:3" x14ac:dyDescent="0.2">
      <c r="A51" s="34" t="s">
        <v>73</v>
      </c>
      <c r="B51" s="24">
        <f ca="1">SUM(B49:B50)</f>
        <v>27591.799953635149</v>
      </c>
      <c r="C51" s="50">
        <f ca="1">SUM(C49:C50)</f>
        <v>1</v>
      </c>
    </row>
    <row r="52" spans="1:3" x14ac:dyDescent="0.2">
      <c r="A52" s="73" t="s">
        <v>87</v>
      </c>
      <c r="B52" s="24">
        <f>Forecast!B44</f>
        <v>500</v>
      </c>
      <c r="C52" s="50"/>
    </row>
    <row r="53" spans="1:3" x14ac:dyDescent="0.2">
      <c r="A53" s="73" t="s">
        <v>88</v>
      </c>
      <c r="B53" s="24">
        <f>-Forecast!B50</f>
        <v>-900</v>
      </c>
      <c r="C53" s="50"/>
    </row>
    <row r="54" spans="1:3" x14ac:dyDescent="0.2">
      <c r="A54" s="51" t="s">
        <v>16</v>
      </c>
      <c r="B54" s="28">
        <f>-Forecast!B48</f>
        <v>-2500</v>
      </c>
    </row>
    <row r="55" spans="1:3" x14ac:dyDescent="0.2">
      <c r="A55" s="34" t="s">
        <v>96</v>
      </c>
      <c r="B55" s="24">
        <f ca="1">B51+B52+B53+B54</f>
        <v>24691.799953635149</v>
      </c>
    </row>
    <row r="56" spans="1:3" x14ac:dyDescent="0.2">
      <c r="A56" s="34" t="s">
        <v>89</v>
      </c>
      <c r="B56" s="29">
        <f ca="1">B55/Forecast!C66</f>
        <v>164.611999690901</v>
      </c>
    </row>
  </sheetData>
  <phoneticPr fontId="0" type="noConversion"/>
  <pageMargins left="0.39370078740157483" right="0.39370078740157483" top="0.78740157480314965" bottom="0.98425196850393704" header="0.31496062992125984" footer="0.31496062992125984"/>
  <pageSetup orientation="landscape" horizontalDpi="4294967293" r:id="rId1"/>
  <headerFooter alignWithMargins="0">
    <oddHeader>&amp;L&amp;"Times New Roman,Regular"&amp;8&amp;F, &amp;A&amp;R&amp;"Times New Roman,Regular"&amp;8&amp;F&amp;A</oddHeader>
    <oddFooter>&amp;L&amp;"Times New Roman,Regular"&amp;8© BG Training 2003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Front Page</vt:lpstr>
      <vt:lpstr>Forecast</vt:lpstr>
      <vt:lpstr>Fixed assets</vt:lpstr>
      <vt:lpstr>Discount rate</vt:lpstr>
      <vt:lpstr>CapValVar</vt:lpstr>
      <vt:lpstr>'Discount rate'!Print_Area</vt:lpstr>
      <vt:lpstr>Forecast!Print_Area</vt:lpstr>
      <vt:lpstr>CapValVar!Print_Titles</vt:lpstr>
      <vt:lpstr>Forecast!Print_Titles</vt:lpstr>
    </vt:vector>
  </TitlesOfParts>
  <Company>antill&amp;antill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Antill</dc:creator>
  <cp:lastModifiedBy>Nick</cp:lastModifiedBy>
  <cp:lastPrinted>2003-05-01T15:56:37Z</cp:lastPrinted>
  <dcterms:created xsi:type="dcterms:W3CDTF">2001-06-23T16:36:03Z</dcterms:created>
  <dcterms:modified xsi:type="dcterms:W3CDTF">2019-12-29T12:15:51Z</dcterms:modified>
</cp:coreProperties>
</file>