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Start" sheetId="7" r:id="rId1"/>
    <sheet name="Financials" sheetId="1" r:id="rId2"/>
    <sheet name="Operations" sheetId="2" r:id="rId3"/>
    <sheet name="Performance" sheetId="3" r:id="rId4"/>
    <sheet name="ROCE" sheetId="6" r:id="rId5"/>
  </sheets>
  <definedNames>
    <definedName name="_xlnm.Print_Area" localSheetId="1">Financials!$A$1:$I$28</definedName>
    <definedName name="_xlnm.Print_Area" localSheetId="2">Operations!$A$1:$I$40</definedName>
    <definedName name="_xlnm.Print_Area" localSheetId="3">Performance!$A$1:$I$20</definedName>
    <definedName name="_xlnm.Print_Area" localSheetId="4">ROCE!$A$1:$B$24</definedName>
  </definedNames>
  <calcPr calcId="145621"/>
</workbook>
</file>

<file path=xl/calcChain.xml><?xml version="1.0" encoding="utf-8"?>
<calcChain xmlns="http://schemas.openxmlformats.org/spreadsheetml/2006/main">
  <c r="D9" i="3" l="1"/>
  <c r="C9" i="3"/>
  <c r="C8" i="3"/>
  <c r="E8" i="3" s="1"/>
  <c r="D8" i="3"/>
  <c r="B8" i="3"/>
  <c r="B16" i="1"/>
  <c r="B19" i="1"/>
  <c r="C16" i="1"/>
  <c r="D16" i="1"/>
  <c r="D19" i="1"/>
  <c r="B15" i="6"/>
  <c r="B23" i="6"/>
  <c r="B14" i="6"/>
  <c r="C25" i="1"/>
  <c r="C26" i="1"/>
  <c r="C27" i="1" s="1"/>
  <c r="C24" i="1"/>
  <c r="B7" i="6"/>
  <c r="C20" i="1"/>
  <c r="D20" i="1"/>
  <c r="E20" i="1" s="1"/>
  <c r="F20" i="1" s="1"/>
  <c r="G20" i="1" s="1"/>
  <c r="H20" i="1" s="1"/>
  <c r="I20" i="1" s="1"/>
  <c r="B20" i="1"/>
  <c r="F6" i="3"/>
  <c r="G6" i="3"/>
  <c r="H6" i="3"/>
  <c r="I6" i="3"/>
  <c r="E24" i="1"/>
  <c r="F27" i="1"/>
  <c r="G27" i="1" s="1"/>
  <c r="H27" i="1" s="1"/>
  <c r="I27" i="1" s="1"/>
  <c r="D26" i="1"/>
  <c r="D25" i="1"/>
  <c r="D24" i="1"/>
  <c r="C13" i="1"/>
  <c r="D13" i="1"/>
  <c r="E13" i="1" s="1"/>
  <c r="B13" i="1"/>
  <c r="A16" i="3"/>
  <c r="A14" i="3"/>
  <c r="A15" i="3"/>
  <c r="A13" i="3"/>
  <c r="F16" i="1"/>
  <c r="G16" i="1" s="1"/>
  <c r="C3" i="1"/>
  <c r="C3" i="2" s="1"/>
  <c r="C3" i="3" s="1"/>
  <c r="B3" i="2"/>
  <c r="B3" i="3" s="1"/>
  <c r="A3" i="2"/>
  <c r="A3" i="3" s="1"/>
  <c r="A3" i="6" s="1"/>
  <c r="B13" i="2"/>
  <c r="C6" i="2"/>
  <c r="B25" i="2"/>
  <c r="C18" i="2"/>
  <c r="C25" i="2"/>
  <c r="C31" i="2"/>
  <c r="D31" i="2"/>
  <c r="C32" i="2"/>
  <c r="D32" i="2"/>
  <c r="C33" i="2"/>
  <c r="D33" i="2"/>
  <c r="C34" i="2"/>
  <c r="D34" i="2"/>
  <c r="C35" i="2"/>
  <c r="D35" i="2"/>
  <c r="C36" i="2"/>
  <c r="D36" i="2"/>
  <c r="D16" i="3"/>
  <c r="C38" i="2"/>
  <c r="C19" i="3"/>
  <c r="D38" i="2"/>
  <c r="D19" i="3"/>
  <c r="B31" i="2"/>
  <c r="B32" i="2"/>
  <c r="B33" i="2"/>
  <c r="B34" i="2"/>
  <c r="B35" i="2"/>
  <c r="B36" i="2"/>
  <c r="B14" i="3"/>
  <c r="B38" i="2"/>
  <c r="B19" i="3"/>
  <c r="B30" i="2"/>
  <c r="C19" i="1"/>
  <c r="B12" i="1"/>
  <c r="D12" i="1"/>
  <c r="B6" i="6" s="1"/>
  <c r="C12" i="1"/>
  <c r="D3" i="1"/>
  <c r="D3" i="2" s="1"/>
  <c r="D3" i="3" s="1"/>
  <c r="B3" i="6" s="1"/>
  <c r="E36" i="2"/>
  <c r="B16" i="6"/>
  <c r="B21" i="6" s="1"/>
  <c r="E9" i="3"/>
  <c r="E18" i="1" s="1"/>
  <c r="D15" i="3"/>
  <c r="D13" i="3"/>
  <c r="D17" i="3"/>
  <c r="E17" i="3" s="1"/>
  <c r="F17" i="3" s="1"/>
  <c r="G17" i="3" s="1"/>
  <c r="H17" i="3" s="1"/>
  <c r="I17" i="3" s="1"/>
  <c r="C14" i="3"/>
  <c r="B27" i="2"/>
  <c r="C27" i="2"/>
  <c r="D18" i="2"/>
  <c r="D25" i="2"/>
  <c r="D27" i="2"/>
  <c r="D14" i="3"/>
  <c r="D20" i="3"/>
  <c r="D6" i="3"/>
  <c r="F36" i="2"/>
  <c r="C16" i="3"/>
  <c r="C17" i="3" s="1"/>
  <c r="C15" i="3"/>
  <c r="C20" i="3" s="1"/>
  <c r="E20" i="3" s="1"/>
  <c r="C13" i="3"/>
  <c r="E13" i="3" s="1"/>
  <c r="B16" i="3"/>
  <c r="B10" i="3"/>
  <c r="B13" i="3"/>
  <c r="B15" i="3"/>
  <c r="C6" i="3"/>
  <c r="B37" i="2"/>
  <c r="B7" i="3"/>
  <c r="B15" i="2"/>
  <c r="B39" i="2"/>
  <c r="C30" i="2"/>
  <c r="C10" i="3"/>
  <c r="C13" i="2"/>
  <c r="D27" i="1"/>
  <c r="F9" i="3"/>
  <c r="G9" i="3" s="1"/>
  <c r="G36" i="2"/>
  <c r="B17" i="3"/>
  <c r="B40" i="2"/>
  <c r="D6" i="2"/>
  <c r="C15" i="2"/>
  <c r="C39" i="2"/>
  <c r="C37" i="2"/>
  <c r="H36" i="2"/>
  <c r="C7" i="3"/>
  <c r="C40" i="2"/>
  <c r="D13" i="2"/>
  <c r="D30" i="2"/>
  <c r="D10" i="3"/>
  <c r="I36" i="2"/>
  <c r="D37" i="2"/>
  <c r="D15" i="2"/>
  <c r="D39" i="2"/>
  <c r="E30" i="2"/>
  <c r="E10" i="3"/>
  <c r="F10" i="3"/>
  <c r="B9" i="6"/>
  <c r="D40" i="2"/>
  <c r="E40" i="2"/>
  <c r="F40" i="2"/>
  <c r="G40" i="2"/>
  <c r="H40" i="2"/>
  <c r="I40" i="2"/>
  <c r="B17" i="6"/>
  <c r="D7" i="3"/>
  <c r="G10" i="3"/>
  <c r="F30" i="2"/>
  <c r="E37" i="2"/>
  <c r="E7" i="3"/>
  <c r="E35" i="2"/>
  <c r="E38" i="2"/>
  <c r="E39" i="2"/>
  <c r="E34" i="2"/>
  <c r="E31" i="2"/>
  <c r="H10" i="3"/>
  <c r="G30" i="2"/>
  <c r="F37" i="2"/>
  <c r="F7" i="3"/>
  <c r="F34" i="2"/>
  <c r="F35" i="2"/>
  <c r="F38" i="2"/>
  <c r="F39" i="2"/>
  <c r="F31" i="2"/>
  <c r="I10" i="3"/>
  <c r="H30" i="2"/>
  <c r="G37" i="2"/>
  <c r="I37" i="2"/>
  <c r="I30" i="2"/>
  <c r="H37" i="2"/>
  <c r="G38" i="2"/>
  <c r="G39" i="2"/>
  <c r="G34" i="2"/>
  <c r="G35" i="2"/>
  <c r="G7" i="3"/>
  <c r="G31" i="2"/>
  <c r="H31" i="2"/>
  <c r="H34" i="2"/>
  <c r="H7" i="3"/>
  <c r="H35" i="2"/>
  <c r="H38" i="2"/>
  <c r="H39" i="2"/>
  <c r="I38" i="2"/>
  <c r="I39" i="2"/>
  <c r="I7" i="3"/>
  <c r="I34" i="2"/>
  <c r="I31" i="2"/>
  <c r="I35" i="2"/>
  <c r="F8" i="3" l="1"/>
  <c r="E17" i="1"/>
  <c r="E8" i="1" s="1"/>
  <c r="E3" i="1"/>
  <c r="E3" i="2" s="1"/>
  <c r="E3" i="3" s="1"/>
  <c r="E14" i="3"/>
  <c r="F14" i="3" s="1"/>
  <c r="F20" i="3"/>
  <c r="G20" i="3" s="1"/>
  <c r="H20" i="3" s="1"/>
  <c r="I20" i="3" s="1"/>
  <c r="E15" i="3"/>
  <c r="E25" i="1"/>
  <c r="E19" i="1"/>
  <c r="F13" i="1"/>
  <c r="H16" i="1"/>
  <c r="H9" i="3"/>
  <c r="G18" i="1"/>
  <c r="G25" i="1" s="1"/>
  <c r="B8" i="6"/>
  <c r="B20" i="6"/>
  <c r="B22" i="6" s="1"/>
  <c r="B24" i="6" s="1"/>
  <c r="G8" i="3"/>
  <c r="F17" i="1"/>
  <c r="F13" i="3"/>
  <c r="E6" i="1"/>
  <c r="E16" i="3"/>
  <c r="E10" i="1" s="1"/>
  <c r="F3" i="1"/>
  <c r="F18" i="1"/>
  <c r="F25" i="1" s="1"/>
  <c r="E7" i="1" l="1"/>
  <c r="E11" i="1" s="1"/>
  <c r="G3" i="1"/>
  <c r="F3" i="2"/>
  <c r="F3" i="3" s="1"/>
  <c r="F19" i="1"/>
  <c r="F8" i="1"/>
  <c r="G13" i="1"/>
  <c r="G17" i="1"/>
  <c r="H8" i="3"/>
  <c r="I9" i="3"/>
  <c r="I18" i="1" s="1"/>
  <c r="I25" i="1" s="1"/>
  <c r="H18" i="1"/>
  <c r="H25" i="1" s="1"/>
  <c r="G14" i="3"/>
  <c r="F7" i="1"/>
  <c r="E26" i="1"/>
  <c r="E9" i="1"/>
  <c r="G13" i="3"/>
  <c r="F6" i="1"/>
  <c r="F16" i="3"/>
  <c r="F10" i="1" s="1"/>
  <c r="I16" i="1"/>
  <c r="E28" i="1"/>
  <c r="E12" i="1" l="1"/>
  <c r="G7" i="1"/>
  <c r="H14" i="3"/>
  <c r="G8" i="1"/>
  <c r="G19" i="1"/>
  <c r="E19" i="3"/>
  <c r="F15" i="3" s="1"/>
  <c r="F24" i="1"/>
  <c r="G3" i="2"/>
  <c r="G3" i="3" s="1"/>
  <c r="H3" i="1"/>
  <c r="G6" i="1"/>
  <c r="G16" i="3"/>
  <c r="G10" i="1" s="1"/>
  <c r="H13" i="3"/>
  <c r="H17" i="1"/>
  <c r="I8" i="3"/>
  <c r="I17" i="1" s="1"/>
  <c r="I8" i="1" s="1"/>
  <c r="H13" i="1"/>
  <c r="F9" i="1" l="1"/>
  <c r="F26" i="1"/>
  <c r="H8" i="1"/>
  <c r="H19" i="1"/>
  <c r="H3" i="2"/>
  <c r="H3" i="3" s="1"/>
  <c r="I3" i="1"/>
  <c r="I3" i="2" s="1"/>
  <c r="I3" i="3" s="1"/>
  <c r="I19" i="1"/>
  <c r="I13" i="3"/>
  <c r="H6" i="1"/>
  <c r="H16" i="3"/>
  <c r="H10" i="1" s="1"/>
  <c r="I13" i="1"/>
  <c r="F28" i="1"/>
  <c r="I14" i="3"/>
  <c r="I7" i="1" s="1"/>
  <c r="H7" i="1"/>
  <c r="I6" i="1" l="1"/>
  <c r="I16" i="3"/>
  <c r="I10" i="1" s="1"/>
  <c r="F19" i="3"/>
  <c r="G15" i="3" s="1"/>
  <c r="G24" i="1"/>
  <c r="F11" i="1"/>
  <c r="F12" i="1" s="1"/>
  <c r="G26" i="1" l="1"/>
  <c r="G28" i="1" s="1"/>
  <c r="G9" i="1"/>
  <c r="G19" i="3" l="1"/>
  <c r="H15" i="3" s="1"/>
  <c r="H24" i="1"/>
  <c r="G11" i="1"/>
  <c r="G12" i="1" s="1"/>
  <c r="H26" i="1" l="1"/>
  <c r="H28" i="1" s="1"/>
  <c r="H9" i="1"/>
  <c r="I24" i="1" l="1"/>
  <c r="H19" i="3"/>
  <c r="I15" i="3" s="1"/>
  <c r="H11" i="1"/>
  <c r="H12" i="1" s="1"/>
  <c r="I26" i="1" l="1"/>
  <c r="I28" i="1" s="1"/>
  <c r="I19" i="3" s="1"/>
  <c r="I9" i="1"/>
  <c r="I11" i="1" l="1"/>
  <c r="I12" i="1" s="1"/>
</calcChain>
</file>

<file path=xl/sharedStrings.xml><?xml version="1.0" encoding="utf-8"?>
<sst xmlns="http://schemas.openxmlformats.org/spreadsheetml/2006/main" count="89" uniqueCount="63">
  <si>
    <t>Year</t>
  </si>
  <si>
    <t>Revenue</t>
  </si>
  <si>
    <t>Production costs</t>
  </si>
  <si>
    <t>Depreciation and depletion</t>
  </si>
  <si>
    <t>Taxes other than income</t>
  </si>
  <si>
    <t>Related income tax</t>
  </si>
  <si>
    <t>Results of producing activities</t>
  </si>
  <si>
    <t>Exploration expenses</t>
  </si>
  <si>
    <t>Profit and loss account</t>
  </si>
  <si>
    <t>Capitalised costs</t>
  </si>
  <si>
    <t>Costs incurred</t>
  </si>
  <si>
    <t>Acquisition</t>
  </si>
  <si>
    <t>Exploration</t>
  </si>
  <si>
    <t>Development</t>
  </si>
  <si>
    <t>Total</t>
  </si>
  <si>
    <t>Opening</t>
  </si>
  <si>
    <t>Revisions</t>
  </si>
  <si>
    <t>Purchases</t>
  </si>
  <si>
    <t>Sales</t>
  </si>
  <si>
    <t>Improved recovery</t>
  </si>
  <si>
    <t>Extensions and discoveries</t>
  </si>
  <si>
    <t>Production</t>
  </si>
  <si>
    <t>Closing</t>
  </si>
  <si>
    <t>Oil reserves (million barrels)</t>
  </si>
  <si>
    <t>Gas reserves (billion cubic feet)</t>
  </si>
  <si>
    <t>Of which developed</t>
  </si>
  <si>
    <t>Of which undeveloped</t>
  </si>
  <si>
    <t>Oil equivalent reserves (mmboe)</t>
  </si>
  <si>
    <t>Reserve replacement ratio</t>
  </si>
  <si>
    <t>Opening reserve/production ratio</t>
  </si>
  <si>
    <t>Production volume growth</t>
  </si>
  <si>
    <t>Developed percentage</t>
  </si>
  <si>
    <t>Reserve replacement</t>
  </si>
  <si>
    <t>Closing net capitalised costs</t>
  </si>
  <si>
    <t>Opening net capitalised costs</t>
  </si>
  <si>
    <t>Development costs incurred</t>
  </si>
  <si>
    <t>Tax % of results before income tax</t>
  </si>
  <si>
    <t>Capitalised costs per developed barrel</t>
  </si>
  <si>
    <t>Exploration success</t>
  </si>
  <si>
    <t>Depletion/opening capitalised costs</t>
  </si>
  <si>
    <t>Taxes other than income/revenue</t>
  </si>
  <si>
    <t>Per barrel numbers</t>
  </si>
  <si>
    <t>Change in NPV of reserves</t>
  </si>
  <si>
    <t>Unrealised profit</t>
  </si>
  <si>
    <t>4. ROCE ($ million)</t>
  </si>
  <si>
    <t>Stated income</t>
  </si>
  <si>
    <t>Opening capitalised costs</t>
  </si>
  <si>
    <t>ROCE</t>
  </si>
  <si>
    <t>Accounting ROCE</t>
  </si>
  <si>
    <t>Adjusted ROCE</t>
  </si>
  <si>
    <t>NPV adjustments</t>
  </si>
  <si>
    <t>Adjusted income</t>
  </si>
  <si>
    <t>Opening NPV of reserves</t>
  </si>
  <si>
    <t>Closing NPV of reserves</t>
  </si>
  <si>
    <t>Closing NPV of reserves/boe</t>
  </si>
  <si>
    <t>Capitalised costs per boe</t>
  </si>
  <si>
    <t>Acquisition costs/other</t>
  </si>
  <si>
    <t>Finding cost per barrel (excluding revisions)</t>
  </si>
  <si>
    <t>Development cost per barrel (excluding revisions)</t>
  </si>
  <si>
    <t>Upstream oil company model</t>
  </si>
  <si>
    <t>1. Upstream financials ($ million)</t>
  </si>
  <si>
    <t>2. Oil and gas reserves</t>
  </si>
  <si>
    <t>3. Upstream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</si>
</sst>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"/>
    <numFmt numFmtId="165" formatCode="0.0"/>
    <numFmt numFmtId="166" formatCode="0.0%"/>
    <numFmt numFmtId="167" formatCode="0%;\(0%\)"/>
  </numFmts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3" tint="0.39997558519241921"/>
      <name val="Arial"/>
      <family val="2"/>
    </font>
    <font>
      <i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0" xfId="0" applyNumberFormat="1" applyFont="1" applyBorder="1"/>
    <xf numFmtId="0" fontId="4" fillId="0" borderId="0" xfId="0" quotePrefix="1" applyFont="1" applyBorder="1" applyAlignment="1">
      <alignment horizontal="left"/>
    </xf>
    <xf numFmtId="0" fontId="4" fillId="0" borderId="0" xfId="0" applyFont="1" applyBorder="1"/>
    <xf numFmtId="164" fontId="4" fillId="0" borderId="0" xfId="0" applyNumberFormat="1" applyFont="1" applyBorder="1"/>
    <xf numFmtId="0" fontId="2" fillId="0" borderId="0" xfId="0" applyFont="1" applyBorder="1"/>
    <xf numFmtId="9" fontId="2" fillId="0" borderId="0" xfId="0" applyNumberFormat="1" applyFont="1" applyBorder="1"/>
    <xf numFmtId="9" fontId="6" fillId="0" borderId="0" xfId="0" applyNumberFormat="1" applyFont="1" applyBorder="1"/>
    <xf numFmtId="167" fontId="2" fillId="0" borderId="0" xfId="0" applyNumberFormat="1" applyFont="1" applyBorder="1"/>
    <xf numFmtId="167" fontId="6" fillId="0" borderId="0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 applyBorder="1"/>
    <xf numFmtId="165" fontId="4" fillId="0" borderId="0" xfId="0" applyNumberFormat="1" applyFont="1" applyBorder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4:O17"/>
  <sheetViews>
    <sheetView showGridLines="0" tabSelected="1" workbookViewId="0"/>
  </sheetViews>
  <sheetFormatPr defaultRowHeight="12.75" x14ac:dyDescent="0.2"/>
  <sheetData>
    <row r="14" spans="8:15" ht="13.5" thickBot="1" x14ac:dyDescent="0.25"/>
    <row r="15" spans="8:15" x14ac:dyDescent="0.2">
      <c r="H15" s="8"/>
      <c r="I15" s="9"/>
      <c r="J15" s="9"/>
      <c r="K15" s="9"/>
      <c r="L15" s="9"/>
      <c r="M15" s="9"/>
      <c r="N15" s="9"/>
      <c r="O15" s="10"/>
    </row>
    <row r="16" spans="8:15" x14ac:dyDescent="0.2">
      <c r="H16" s="14" t="s">
        <v>59</v>
      </c>
      <c r="I16" s="15"/>
      <c r="J16" s="15"/>
      <c r="K16" s="15"/>
      <c r="L16" s="15"/>
      <c r="M16" s="15"/>
      <c r="N16" s="15"/>
      <c r="O16" s="16"/>
    </row>
    <row r="17" spans="8:15" ht="13.5" thickBot="1" x14ac:dyDescent="0.25">
      <c r="H17" s="11"/>
      <c r="I17" s="12"/>
      <c r="J17" s="12"/>
      <c r="K17" s="12"/>
      <c r="L17" s="12"/>
      <c r="M17" s="12"/>
      <c r="N17" s="12"/>
      <c r="O17" s="13"/>
    </row>
  </sheetData>
  <mergeCells count="1">
    <mergeCell ref="H16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workbookViewId="0"/>
  </sheetViews>
  <sheetFormatPr defaultRowHeight="12.75" x14ac:dyDescent="0.2"/>
  <cols>
    <col min="1" max="1" width="30.85546875" customWidth="1"/>
  </cols>
  <sheetData>
    <row r="1" spans="1:9" x14ac:dyDescent="0.2">
      <c r="A1" s="18" t="s">
        <v>60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x14ac:dyDescent="0.2">
      <c r="A3" s="19" t="s">
        <v>0</v>
      </c>
      <c r="B3" s="19">
        <v>-2</v>
      </c>
      <c r="C3" s="19">
        <f t="shared" ref="C3:I3" si="0">B3+1</f>
        <v>-1</v>
      </c>
      <c r="D3" s="19">
        <f t="shared" si="0"/>
        <v>0</v>
      </c>
      <c r="E3" s="19">
        <f t="shared" si="0"/>
        <v>1</v>
      </c>
      <c r="F3" s="19">
        <f t="shared" si="0"/>
        <v>2</v>
      </c>
      <c r="G3" s="19">
        <f t="shared" si="0"/>
        <v>3</v>
      </c>
      <c r="H3" s="19">
        <f t="shared" si="0"/>
        <v>4</v>
      </c>
      <c r="I3" s="19">
        <f t="shared" si="0"/>
        <v>5</v>
      </c>
    </row>
    <row r="4" spans="1:9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19" t="s">
        <v>8</v>
      </c>
      <c r="B5" s="19"/>
      <c r="C5" s="19"/>
      <c r="D5" s="19"/>
      <c r="E5" s="19"/>
      <c r="F5" s="19"/>
      <c r="G5" s="19"/>
      <c r="H5" s="19"/>
      <c r="I5" s="19"/>
    </row>
    <row r="6" spans="1:9" x14ac:dyDescent="0.2">
      <c r="A6" s="19" t="s">
        <v>1</v>
      </c>
      <c r="B6" s="17">
        <v>30917</v>
      </c>
      <c r="C6" s="17">
        <v>39702</v>
      </c>
      <c r="D6" s="17">
        <v>48114</v>
      </c>
      <c r="E6" s="20">
        <f>Operations!E36*-Performance!E13</f>
        <v>43730.126585689039</v>
      </c>
      <c r="F6" s="20">
        <f>Operations!F36*-Performance!F13</f>
        <v>44167.42785154593</v>
      </c>
      <c r="G6" s="20">
        <f>Operations!G36*-Performance!G13</f>
        <v>44609.102130061387</v>
      </c>
      <c r="H6" s="20">
        <f>Operations!H36*-Performance!H13</f>
        <v>45055.193151362</v>
      </c>
      <c r="I6" s="20">
        <f>Operations!I36*-Performance!I13</f>
        <v>45505.745082875619</v>
      </c>
    </row>
    <row r="7" spans="1:9" x14ac:dyDescent="0.2">
      <c r="A7" s="19" t="s">
        <v>2</v>
      </c>
      <c r="B7" s="17">
        <v>-13113</v>
      </c>
      <c r="C7" s="17">
        <v>-13447</v>
      </c>
      <c r="D7" s="17">
        <v>-14109</v>
      </c>
      <c r="E7" s="20">
        <f>Operations!E36*Performance!E14</f>
        <v>-13706.818925942285</v>
      </c>
      <c r="F7" s="20">
        <f>Operations!F36*Performance!F14</f>
        <v>-13843.887115201709</v>
      </c>
      <c r="G7" s="20">
        <f>Operations!G36*Performance!G14</f>
        <v>-13982.325986353724</v>
      </c>
      <c r="H7" s="20">
        <f>Operations!H36*Performance!H14</f>
        <v>-14122.149246217261</v>
      </c>
      <c r="I7" s="20">
        <f>Operations!I36*Performance!I14</f>
        <v>-14263.370738679434</v>
      </c>
    </row>
    <row r="8" spans="1:9" x14ac:dyDescent="0.2">
      <c r="A8" s="19" t="s">
        <v>7</v>
      </c>
      <c r="B8" s="17">
        <v>-1467</v>
      </c>
      <c r="C8" s="17">
        <v>-1790</v>
      </c>
      <c r="D8" s="17">
        <v>-1466</v>
      </c>
      <c r="E8" s="20">
        <f>E17*-(1-E20)</f>
        <v>-1823.0009692597812</v>
      </c>
      <c r="F8" s="20">
        <f>F17*-(1-F20)</f>
        <v>-1841.2309789523688</v>
      </c>
      <c r="G8" s="20">
        <f>G17*-(1-G20)</f>
        <v>-1859.6432887418991</v>
      </c>
      <c r="H8" s="20">
        <f>H17*-(1-H20)</f>
        <v>-1878.2397216293145</v>
      </c>
      <c r="I8" s="20">
        <f>I17*-(1-I20)</f>
        <v>-1897.0221188456123</v>
      </c>
    </row>
    <row r="9" spans="1:9" x14ac:dyDescent="0.2">
      <c r="A9" s="19" t="s">
        <v>3</v>
      </c>
      <c r="B9" s="17">
        <v>-18331</v>
      </c>
      <c r="C9" s="17">
        <v>-15401</v>
      </c>
      <c r="D9" s="17">
        <v>-13928</v>
      </c>
      <c r="E9" s="20">
        <f>Operations!E36*Performance!E15</f>
        <v>-10354.451797021444</v>
      </c>
      <c r="F9" s="20">
        <f>Operations!F36*Performance!F15</f>
        <v>-10585.950619430991</v>
      </c>
      <c r="G9" s="20">
        <f>Operations!G36*Performance!G15</f>
        <v>-10812.452153989296</v>
      </c>
      <c r="H9" s="20">
        <f>Operations!H36*Performance!H15</f>
        <v>-11034.324306541317</v>
      </c>
      <c r="I9" s="20">
        <f>Operations!I36*Performance!I15</f>
        <v>-11251.914781241747</v>
      </c>
    </row>
    <row r="10" spans="1:9" x14ac:dyDescent="0.2">
      <c r="A10" s="19" t="s">
        <v>4</v>
      </c>
      <c r="B10" s="17">
        <v>-2387</v>
      </c>
      <c r="C10" s="17">
        <v>-2608</v>
      </c>
      <c r="D10" s="17">
        <v>-3503</v>
      </c>
      <c r="E10" s="20">
        <f>Operations!E36*Performance!E16</f>
        <v>-3183.8266082568211</v>
      </c>
      <c r="F10" s="20">
        <f>Operations!F36*Performance!F16</f>
        <v>-3215.6648743393894</v>
      </c>
      <c r="G10" s="20">
        <f>Operations!G36*Performance!G16</f>
        <v>-3247.8215230827832</v>
      </c>
      <c r="H10" s="20">
        <f>Operations!H36*Performance!H16</f>
        <v>-3280.2997383136112</v>
      </c>
      <c r="I10" s="20">
        <f>Operations!I36*Performance!I16</f>
        <v>-3313.102735696747</v>
      </c>
    </row>
    <row r="11" spans="1:9" x14ac:dyDescent="0.2">
      <c r="A11" s="19" t="s">
        <v>5</v>
      </c>
      <c r="B11" s="17">
        <v>900</v>
      </c>
      <c r="C11" s="17">
        <v>2154</v>
      </c>
      <c r="D11" s="17">
        <v>-8459</v>
      </c>
      <c r="E11" s="20">
        <f>SUM(E6:E10)*-E13</f>
        <v>-8209.2995277058799</v>
      </c>
      <c r="F11" s="20">
        <f>SUM(F6:F10)*-F13</f>
        <v>-8219.7506470726803</v>
      </c>
      <c r="G11" s="20">
        <f>SUM(G6:G10)*-G13</f>
        <v>-8234.4004359149239</v>
      </c>
      <c r="H11" s="20">
        <f>SUM(H6:H10)*-H13</f>
        <v>-8253.0569097782063</v>
      </c>
      <c r="I11" s="20">
        <f>SUM(I6:I10)*-I13</f>
        <v>-8275.5395352434334</v>
      </c>
    </row>
    <row r="12" spans="1:9" x14ac:dyDescent="0.2">
      <c r="A12" s="19" t="s">
        <v>6</v>
      </c>
      <c r="B12" s="20">
        <f t="shared" ref="B12:I12" si="1">SUM(B6:B11)</f>
        <v>-3481</v>
      </c>
      <c r="C12" s="20">
        <f t="shared" si="1"/>
        <v>8610</v>
      </c>
      <c r="D12" s="20">
        <f t="shared" si="1"/>
        <v>6649</v>
      </c>
      <c r="E12" s="20">
        <f t="shared" si="1"/>
        <v>6452.7287575028258</v>
      </c>
      <c r="F12" s="20">
        <f t="shared" si="1"/>
        <v>6460.9436165487932</v>
      </c>
      <c r="G12" s="20">
        <f t="shared" si="1"/>
        <v>6472.4587419787604</v>
      </c>
      <c r="H12" s="20">
        <f t="shared" si="1"/>
        <v>6487.1232288822921</v>
      </c>
      <c r="I12" s="20">
        <f t="shared" si="1"/>
        <v>6504.7951731686462</v>
      </c>
    </row>
    <row r="13" spans="1:9" x14ac:dyDescent="0.2">
      <c r="A13" s="21" t="s">
        <v>36</v>
      </c>
      <c r="B13" s="22">
        <f>B11/-SUM(B6:B10)</f>
        <v>0.2054325496461995</v>
      </c>
      <c r="C13" s="22">
        <f>C11/-SUM(C6:C10)</f>
        <v>-0.33364312267657992</v>
      </c>
      <c r="D13" s="22">
        <f>D11/-SUM(D6:D10)</f>
        <v>0.5599020386550172</v>
      </c>
      <c r="E13" s="23">
        <f>D13</f>
        <v>0.5599020386550172</v>
      </c>
      <c r="F13" s="23">
        <f>E13</f>
        <v>0.5599020386550172</v>
      </c>
      <c r="G13" s="23">
        <f>F13</f>
        <v>0.5599020386550172</v>
      </c>
      <c r="H13" s="23">
        <f>G13</f>
        <v>0.5599020386550172</v>
      </c>
      <c r="I13" s="23">
        <f>H13</f>
        <v>0.5599020386550172</v>
      </c>
    </row>
    <row r="14" spans="1:9" x14ac:dyDescent="0.2">
      <c r="A14" s="19"/>
      <c r="B14" s="20"/>
      <c r="C14" s="20"/>
      <c r="D14" s="20"/>
      <c r="E14" s="20"/>
      <c r="F14" s="20"/>
      <c r="G14" s="20"/>
      <c r="H14" s="20"/>
      <c r="I14" s="20"/>
    </row>
    <row r="15" spans="1:9" x14ac:dyDescent="0.2">
      <c r="A15" s="19" t="s">
        <v>10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19" t="s">
        <v>11</v>
      </c>
      <c r="B16" s="17">
        <f>73+197</f>
        <v>270</v>
      </c>
      <c r="C16" s="17">
        <f>726+9877</f>
        <v>10603</v>
      </c>
      <c r="D16" s="17">
        <f>331+2348</f>
        <v>2679</v>
      </c>
      <c r="E16" s="20">
        <v>0</v>
      </c>
      <c r="F16" s="20">
        <f>E16</f>
        <v>0</v>
      </c>
      <c r="G16" s="20">
        <f>F16</f>
        <v>0</v>
      </c>
      <c r="H16" s="20">
        <f>G16</f>
        <v>0</v>
      </c>
      <c r="I16" s="20">
        <f>H16</f>
        <v>0</v>
      </c>
    </row>
    <row r="17" spans="1:9" x14ac:dyDescent="0.2">
      <c r="A17" s="19" t="s">
        <v>12</v>
      </c>
      <c r="B17" s="17">
        <v>1631</v>
      </c>
      <c r="C17" s="17">
        <v>2107</v>
      </c>
      <c r="D17" s="17">
        <v>2228</v>
      </c>
      <c r="E17" s="20">
        <f>Performance!E8*(Operations!E31+Operations!E34+Operations!E35)</f>
        <v>2272.1368873470433</v>
      </c>
      <c r="F17" s="20">
        <f>Performance!F8*(Operations!F31+Operations!F34+Operations!F35)</f>
        <v>2294.8582562205011</v>
      </c>
      <c r="G17" s="20">
        <f>Performance!G8*(Operations!G31+Operations!G34+Operations!G35)</f>
        <v>2317.8068387827143</v>
      </c>
      <c r="H17" s="20">
        <f>Performance!H8*(Operations!H31+Operations!H34+Operations!H35)</f>
        <v>2340.9849071705371</v>
      </c>
      <c r="I17" s="20">
        <f>Performance!I8*(Operations!I31+Operations!I34+Operations!I35)</f>
        <v>2364.3947562422481</v>
      </c>
    </row>
    <row r="18" spans="1:9" x14ac:dyDescent="0.2">
      <c r="A18" s="19" t="s">
        <v>13</v>
      </c>
      <c r="B18" s="17">
        <v>9474</v>
      </c>
      <c r="C18" s="17">
        <v>6934</v>
      </c>
      <c r="D18" s="17">
        <v>11421</v>
      </c>
      <c r="E18" s="20">
        <f>Performance!E9*(Operations!E38-Operations!D38-Operations!E36)</f>
        <v>14405.347919480322</v>
      </c>
      <c r="F18" s="20">
        <f>Performance!F9*(Operations!F38-Operations!E38-Operations!F36)</f>
        <v>14549.401398675052</v>
      </c>
      <c r="G18" s="20">
        <f>Performance!G9*(Operations!G38-Operations!F38-Operations!G36)</f>
        <v>14694.895412661828</v>
      </c>
      <c r="H18" s="20">
        <f>Performance!H9*(Operations!H38-Operations!G38-Operations!H36)</f>
        <v>14841.844366788455</v>
      </c>
      <c r="I18" s="20">
        <f>Performance!I9*(Operations!I38-Operations!H38-Operations!I36)</f>
        <v>14990.262810456357</v>
      </c>
    </row>
    <row r="19" spans="1:9" x14ac:dyDescent="0.2">
      <c r="A19" s="19" t="s">
        <v>14</v>
      </c>
      <c r="B19" s="20">
        <f t="shared" ref="B19:I19" si="2">SUM(B16:B18)</f>
        <v>11375</v>
      </c>
      <c r="C19" s="20">
        <f t="shared" si="2"/>
        <v>19644</v>
      </c>
      <c r="D19" s="20">
        <f t="shared" si="2"/>
        <v>16328</v>
      </c>
      <c r="E19" s="20">
        <f t="shared" si="2"/>
        <v>16677.484806827364</v>
      </c>
      <c r="F19" s="20">
        <f t="shared" si="2"/>
        <v>16844.259654895555</v>
      </c>
      <c r="G19" s="20">
        <f t="shared" si="2"/>
        <v>17012.702251444542</v>
      </c>
      <c r="H19" s="20">
        <f t="shared" si="2"/>
        <v>17182.829273958992</v>
      </c>
      <c r="I19" s="20">
        <f t="shared" si="2"/>
        <v>17354.657566698606</v>
      </c>
    </row>
    <row r="20" spans="1:9" x14ac:dyDescent="0.2">
      <c r="A20" s="21" t="s">
        <v>38</v>
      </c>
      <c r="B20" s="22">
        <f>1+B8/B17</f>
        <v>0.10055180870631519</v>
      </c>
      <c r="C20" s="22">
        <f>1+C8/C17</f>
        <v>0.15045087802562884</v>
      </c>
      <c r="D20" s="22">
        <f>1+D8/D17</f>
        <v>0.34201077199281871</v>
      </c>
      <c r="E20" s="23">
        <f>AVERAGE(B20:D20)</f>
        <v>0.19767115290825424</v>
      </c>
      <c r="F20" s="23">
        <f>E20</f>
        <v>0.19767115290825424</v>
      </c>
      <c r="G20" s="23">
        <f>F20</f>
        <v>0.19767115290825424</v>
      </c>
      <c r="H20" s="23">
        <f>G20</f>
        <v>0.19767115290825424</v>
      </c>
      <c r="I20" s="23">
        <f>H20</f>
        <v>0.19767115290825424</v>
      </c>
    </row>
    <row r="21" spans="1:9" x14ac:dyDescent="0.2">
      <c r="A21" s="19"/>
      <c r="B21" s="20"/>
      <c r="C21" s="20"/>
      <c r="D21" s="20"/>
      <c r="E21" s="20"/>
      <c r="F21" s="20"/>
      <c r="G21" s="20"/>
      <c r="H21" s="20"/>
      <c r="I21" s="20"/>
    </row>
    <row r="22" spans="1:9" x14ac:dyDescent="0.2">
      <c r="A22" s="19"/>
      <c r="B22" s="20"/>
      <c r="C22" s="20"/>
      <c r="D22" s="20"/>
      <c r="E22" s="20"/>
      <c r="F22" s="20"/>
      <c r="G22" s="20"/>
      <c r="H22" s="20"/>
      <c r="I22" s="20"/>
    </row>
    <row r="23" spans="1:9" x14ac:dyDescent="0.2">
      <c r="A23" s="19" t="s">
        <v>9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">
      <c r="A24" s="19" t="s">
        <v>34</v>
      </c>
      <c r="B24" s="20"/>
      <c r="C24" s="20">
        <f t="shared" ref="C24:I24" si="3">B28</f>
        <v>180665</v>
      </c>
      <c r="D24" s="20">
        <f t="shared" si="3"/>
        <v>184999</v>
      </c>
      <c r="E24" s="20">
        <f t="shared" si="3"/>
        <v>181188</v>
      </c>
      <c r="F24" s="20">
        <f t="shared" si="3"/>
        <v>185238.89612245889</v>
      </c>
      <c r="G24" s="20">
        <f t="shared" si="3"/>
        <v>189202.34690170296</v>
      </c>
      <c r="H24" s="20">
        <f t="shared" si="3"/>
        <v>193084.7901603755</v>
      </c>
      <c r="I24" s="20">
        <f t="shared" si="3"/>
        <v>196892.31022062263</v>
      </c>
    </row>
    <row r="25" spans="1:9" x14ac:dyDescent="0.2">
      <c r="A25" s="19" t="s">
        <v>35</v>
      </c>
      <c r="B25" s="20"/>
      <c r="C25" s="20">
        <f t="shared" ref="C25:I25" si="4">C18</f>
        <v>6934</v>
      </c>
      <c r="D25" s="20">
        <f t="shared" si="4"/>
        <v>11421</v>
      </c>
      <c r="E25" s="20">
        <f t="shared" si="4"/>
        <v>14405.347919480322</v>
      </c>
      <c r="F25" s="20">
        <f t="shared" si="4"/>
        <v>14549.401398675052</v>
      </c>
      <c r="G25" s="20">
        <f t="shared" si="4"/>
        <v>14694.895412661828</v>
      </c>
      <c r="H25" s="20">
        <f t="shared" si="4"/>
        <v>14841.844366788455</v>
      </c>
      <c r="I25" s="20">
        <f t="shared" si="4"/>
        <v>14990.262810456357</v>
      </c>
    </row>
    <row r="26" spans="1:9" x14ac:dyDescent="0.2">
      <c r="A26" s="19" t="s">
        <v>3</v>
      </c>
      <c r="B26" s="20"/>
      <c r="C26" s="20">
        <f>C9</f>
        <v>-15401</v>
      </c>
      <c r="D26" s="20">
        <f>D9</f>
        <v>-13928</v>
      </c>
      <c r="E26" s="20">
        <f>Operations!E36*Performance!E15</f>
        <v>-10354.451797021444</v>
      </c>
      <c r="F26" s="20">
        <f>Operations!F36*Performance!F15</f>
        <v>-10585.950619430991</v>
      </c>
      <c r="G26" s="20">
        <f>Operations!G36*Performance!G15</f>
        <v>-10812.452153989296</v>
      </c>
      <c r="H26" s="20">
        <f>Operations!H36*Performance!H15</f>
        <v>-11034.324306541317</v>
      </c>
      <c r="I26" s="20">
        <f>Operations!I36*Performance!I15</f>
        <v>-11251.914781241747</v>
      </c>
    </row>
    <row r="27" spans="1:9" x14ac:dyDescent="0.2">
      <c r="A27" s="19" t="s">
        <v>56</v>
      </c>
      <c r="B27" s="20"/>
      <c r="C27" s="20">
        <f>C28-C24-C25-C26</f>
        <v>12801</v>
      </c>
      <c r="D27" s="20">
        <f>D28-D24-D25-D26</f>
        <v>-1304</v>
      </c>
      <c r="E27" s="20">
        <v>0</v>
      </c>
      <c r="F27" s="20">
        <f>E27</f>
        <v>0</v>
      </c>
      <c r="G27" s="20">
        <f>F27</f>
        <v>0</v>
      </c>
      <c r="H27" s="20">
        <f>G27</f>
        <v>0</v>
      </c>
      <c r="I27" s="20">
        <f>H27</f>
        <v>0</v>
      </c>
    </row>
    <row r="28" spans="1:9" x14ac:dyDescent="0.2">
      <c r="A28" s="19" t="s">
        <v>33</v>
      </c>
      <c r="B28" s="17">
        <v>180665</v>
      </c>
      <c r="C28" s="20">
        <v>184999</v>
      </c>
      <c r="D28" s="20">
        <v>181188</v>
      </c>
      <c r="E28" s="20">
        <f>SUM(E24:E27)</f>
        <v>185238.89612245889</v>
      </c>
      <c r="F28" s="20">
        <f>SUM(F24:F27)</f>
        <v>189202.34690170296</v>
      </c>
      <c r="G28" s="20">
        <f>SUM(G24:G27)</f>
        <v>193084.7901603755</v>
      </c>
      <c r="H28" s="20">
        <f>SUM(H24:H27)</f>
        <v>196892.31022062263</v>
      </c>
      <c r="I28" s="20">
        <f>SUM(I24:I27)</f>
        <v>200630.65824983726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9" customWidth="1"/>
  </cols>
  <sheetData>
    <row r="1" spans="1:10" x14ac:dyDescent="0.2">
      <c r="A1" s="18" t="s">
        <v>61</v>
      </c>
      <c r="B1" s="19"/>
      <c r="C1" s="19"/>
      <c r="D1" s="19"/>
      <c r="E1" s="19"/>
      <c r="F1" s="19"/>
      <c r="G1" s="19"/>
      <c r="H1" s="19"/>
      <c r="I1" s="19"/>
    </row>
    <row r="2" spans="1:10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10" x14ac:dyDescent="0.2">
      <c r="A3" s="19" t="str">
        <f>Financials!A3</f>
        <v>Year</v>
      </c>
      <c r="B3" s="19">
        <f>Financials!B3</f>
        <v>-2</v>
      </c>
      <c r="C3" s="19">
        <f>Financials!C3</f>
        <v>-1</v>
      </c>
      <c r="D3" s="19">
        <f>Financials!D3</f>
        <v>0</v>
      </c>
      <c r="E3" s="19">
        <f>Financials!E3</f>
        <v>1</v>
      </c>
      <c r="F3" s="19">
        <f>Financials!F3</f>
        <v>2</v>
      </c>
      <c r="G3" s="19">
        <f>Financials!G3</f>
        <v>3</v>
      </c>
      <c r="H3" s="19">
        <f>Financials!H3</f>
        <v>4</v>
      </c>
      <c r="I3" s="19">
        <f>Financials!I3</f>
        <v>5</v>
      </c>
    </row>
    <row r="4" spans="1:10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10" x14ac:dyDescent="0.2">
      <c r="A5" s="19" t="s">
        <v>23</v>
      </c>
      <c r="B5" s="19"/>
      <c r="C5" s="19"/>
      <c r="D5" s="19"/>
      <c r="E5" s="19"/>
      <c r="F5" s="19"/>
      <c r="G5" s="19"/>
      <c r="H5" s="19"/>
      <c r="I5" s="19"/>
    </row>
    <row r="6" spans="1:10" x14ac:dyDescent="0.2">
      <c r="A6" s="19" t="s">
        <v>15</v>
      </c>
      <c r="B6" s="17">
        <v>12954</v>
      </c>
      <c r="C6" s="20">
        <f>B13</f>
        <v>8737</v>
      </c>
      <c r="D6" s="20">
        <f>C13</f>
        <v>10302</v>
      </c>
      <c r="E6" s="20"/>
      <c r="F6" s="20"/>
      <c r="G6" s="20"/>
      <c r="H6" s="20"/>
      <c r="I6" s="20"/>
      <c r="J6" s="1"/>
    </row>
    <row r="7" spans="1:10" x14ac:dyDescent="0.2">
      <c r="A7" s="19" t="s">
        <v>16</v>
      </c>
      <c r="B7" s="17">
        <v>-3823</v>
      </c>
      <c r="C7" s="17">
        <v>951</v>
      </c>
      <c r="D7" s="17">
        <v>3438</v>
      </c>
      <c r="E7" s="20"/>
      <c r="F7" s="20"/>
      <c r="G7" s="20"/>
      <c r="H7" s="20"/>
      <c r="I7" s="20"/>
      <c r="J7" s="1"/>
    </row>
    <row r="8" spans="1:10" x14ac:dyDescent="0.2">
      <c r="A8" s="19" t="s">
        <v>17</v>
      </c>
      <c r="B8" s="17">
        <v>111</v>
      </c>
      <c r="C8" s="17">
        <v>597</v>
      </c>
      <c r="D8" s="17">
        <v>10</v>
      </c>
      <c r="E8" s="20"/>
      <c r="F8" s="20"/>
      <c r="G8" s="20"/>
      <c r="H8" s="20"/>
      <c r="I8" s="20"/>
      <c r="J8" s="1"/>
    </row>
    <row r="9" spans="1:10" x14ac:dyDescent="0.2">
      <c r="A9" s="19" t="s">
        <v>18</v>
      </c>
      <c r="B9" s="17">
        <v>-28</v>
      </c>
      <c r="C9" s="17">
        <v>-55</v>
      </c>
      <c r="D9" s="17">
        <v>-26</v>
      </c>
      <c r="E9" s="20"/>
      <c r="F9" s="20"/>
      <c r="G9" s="20"/>
      <c r="H9" s="20"/>
      <c r="I9" s="20"/>
      <c r="J9" s="1"/>
    </row>
    <row r="10" spans="1:10" x14ac:dyDescent="0.2">
      <c r="A10" s="19" t="s">
        <v>19</v>
      </c>
      <c r="B10" s="17">
        <v>0</v>
      </c>
      <c r="C10" s="17">
        <v>8</v>
      </c>
      <c r="D10" s="17">
        <v>36</v>
      </c>
      <c r="E10" s="20"/>
      <c r="F10" s="20"/>
      <c r="G10" s="20"/>
      <c r="H10" s="20"/>
      <c r="I10" s="20"/>
      <c r="J10" s="1"/>
    </row>
    <row r="11" spans="1:10" x14ac:dyDescent="0.2">
      <c r="A11" s="19" t="s">
        <v>20</v>
      </c>
      <c r="B11" s="17">
        <v>254</v>
      </c>
      <c r="C11" s="17">
        <v>764</v>
      </c>
      <c r="D11" s="17">
        <v>958</v>
      </c>
      <c r="E11" s="20"/>
      <c r="F11" s="20"/>
      <c r="G11" s="20"/>
      <c r="H11" s="20"/>
      <c r="I11" s="20"/>
      <c r="J11" s="1"/>
    </row>
    <row r="12" spans="1:10" x14ac:dyDescent="0.2">
      <c r="A12" s="19" t="s">
        <v>21</v>
      </c>
      <c r="B12" s="17">
        <v>-731</v>
      </c>
      <c r="C12" s="17">
        <v>-700</v>
      </c>
      <c r="D12" s="17">
        <v>-698</v>
      </c>
      <c r="E12" s="20"/>
      <c r="F12" s="20"/>
      <c r="G12" s="20"/>
      <c r="H12" s="20"/>
      <c r="I12" s="20"/>
      <c r="J12" s="1"/>
    </row>
    <row r="13" spans="1:10" x14ac:dyDescent="0.2">
      <c r="A13" s="19" t="s">
        <v>22</v>
      </c>
      <c r="B13" s="20">
        <f>SUM(B6:B12)</f>
        <v>8737</v>
      </c>
      <c r="C13" s="20">
        <f>SUM(C6:C12)</f>
        <v>10302</v>
      </c>
      <c r="D13" s="20">
        <f>SUM(D6:D12)</f>
        <v>14020</v>
      </c>
      <c r="E13" s="20"/>
      <c r="F13" s="20"/>
      <c r="G13" s="20"/>
      <c r="H13" s="20"/>
      <c r="I13" s="20"/>
      <c r="J13" s="1"/>
    </row>
    <row r="14" spans="1:10" x14ac:dyDescent="0.2">
      <c r="A14" s="19" t="s">
        <v>25</v>
      </c>
      <c r="B14" s="17">
        <v>5378</v>
      </c>
      <c r="C14" s="17">
        <v>5819</v>
      </c>
      <c r="D14" s="17">
        <v>9299</v>
      </c>
      <c r="E14" s="20"/>
      <c r="F14" s="20"/>
      <c r="G14" s="20"/>
      <c r="H14" s="20"/>
      <c r="I14" s="20"/>
      <c r="J14" s="1"/>
    </row>
    <row r="15" spans="1:10" x14ac:dyDescent="0.2">
      <c r="A15" s="19" t="s">
        <v>26</v>
      </c>
      <c r="B15" s="20">
        <f>B13-B14</f>
        <v>3359</v>
      </c>
      <c r="C15" s="20">
        <f>C13-C14</f>
        <v>4483</v>
      </c>
      <c r="D15" s="20">
        <f>D13-D14</f>
        <v>4721</v>
      </c>
      <c r="E15" s="20"/>
      <c r="F15" s="20"/>
      <c r="G15" s="20"/>
      <c r="H15" s="20"/>
      <c r="I15" s="20"/>
      <c r="J15" s="1"/>
    </row>
    <row r="16" spans="1:10" x14ac:dyDescent="0.2">
      <c r="A16" s="19"/>
      <c r="B16" s="20"/>
      <c r="C16" s="20"/>
      <c r="D16" s="20"/>
      <c r="E16" s="20"/>
      <c r="F16" s="20"/>
      <c r="G16" s="20"/>
      <c r="H16" s="20"/>
      <c r="I16" s="20"/>
      <c r="J16" s="1"/>
    </row>
    <row r="17" spans="1:10" x14ac:dyDescent="0.2">
      <c r="A17" s="19" t="s">
        <v>24</v>
      </c>
      <c r="B17" s="20"/>
      <c r="C17" s="20"/>
      <c r="D17" s="20"/>
      <c r="E17" s="20"/>
      <c r="F17" s="20"/>
      <c r="G17" s="20"/>
      <c r="H17" s="20"/>
      <c r="I17" s="20"/>
      <c r="J17" s="1"/>
    </row>
    <row r="18" spans="1:10" x14ac:dyDescent="0.2">
      <c r="A18" s="19" t="s">
        <v>15</v>
      </c>
      <c r="B18" s="17">
        <v>35626</v>
      </c>
      <c r="C18" s="20">
        <f>B25</f>
        <v>33434</v>
      </c>
      <c r="D18" s="20">
        <f>C25</f>
        <v>33602</v>
      </c>
      <c r="E18" s="20"/>
      <c r="F18" s="20"/>
      <c r="G18" s="20"/>
      <c r="H18" s="20"/>
      <c r="I18" s="20"/>
      <c r="J18" s="1"/>
    </row>
    <row r="19" spans="1:10" x14ac:dyDescent="0.2">
      <c r="A19" s="19" t="s">
        <v>16</v>
      </c>
      <c r="B19" s="17">
        <v>-943</v>
      </c>
      <c r="C19" s="17">
        <v>673</v>
      </c>
      <c r="D19" s="17">
        <v>1135</v>
      </c>
      <c r="E19" s="20"/>
      <c r="F19" s="20"/>
      <c r="G19" s="20"/>
      <c r="H19" s="20"/>
      <c r="I19" s="20"/>
      <c r="J19" s="1"/>
    </row>
    <row r="20" spans="1:10" x14ac:dyDescent="0.2">
      <c r="A20" s="19" t="s">
        <v>17</v>
      </c>
      <c r="B20" s="17">
        <v>148</v>
      </c>
      <c r="C20" s="17">
        <v>1038</v>
      </c>
      <c r="D20" s="17">
        <v>104</v>
      </c>
      <c r="E20" s="20"/>
      <c r="F20" s="20"/>
      <c r="G20" s="20"/>
      <c r="H20" s="20"/>
      <c r="I20" s="20"/>
      <c r="J20" s="1"/>
    </row>
    <row r="21" spans="1:10" x14ac:dyDescent="0.2">
      <c r="A21" s="19" t="s">
        <v>18</v>
      </c>
      <c r="B21" s="17">
        <v>-59</v>
      </c>
      <c r="C21" s="17">
        <v>-190</v>
      </c>
      <c r="D21" s="17">
        <v>-271</v>
      </c>
      <c r="E21" s="20"/>
      <c r="F21" s="20"/>
      <c r="G21" s="20"/>
      <c r="H21" s="20"/>
      <c r="I21" s="20"/>
      <c r="J21" s="1"/>
    </row>
    <row r="22" spans="1:10" x14ac:dyDescent="0.2">
      <c r="A22" s="19" t="s">
        <v>19</v>
      </c>
      <c r="B22" s="17">
        <v>0</v>
      </c>
      <c r="C22" s="17">
        <v>1</v>
      </c>
      <c r="D22" s="17">
        <v>0</v>
      </c>
      <c r="E22" s="20"/>
      <c r="F22" s="20"/>
      <c r="G22" s="20"/>
      <c r="H22" s="20"/>
      <c r="I22" s="20"/>
      <c r="J22" s="1"/>
    </row>
    <row r="23" spans="1:10" x14ac:dyDescent="0.2">
      <c r="A23" s="19" t="s">
        <v>20</v>
      </c>
      <c r="B23" s="17">
        <v>1196</v>
      </c>
      <c r="C23" s="17">
        <v>1238</v>
      </c>
      <c r="D23" s="17">
        <v>4175</v>
      </c>
      <c r="E23" s="20"/>
      <c r="F23" s="20"/>
      <c r="G23" s="20"/>
      <c r="H23" s="20"/>
      <c r="I23" s="20"/>
      <c r="J23" s="1"/>
    </row>
    <row r="24" spans="1:10" x14ac:dyDescent="0.2">
      <c r="A24" s="19" t="s">
        <v>21</v>
      </c>
      <c r="B24" s="17">
        <v>-2534</v>
      </c>
      <c r="C24" s="17">
        <v>-2592</v>
      </c>
      <c r="D24" s="17">
        <v>-2395</v>
      </c>
      <c r="E24" s="20"/>
      <c r="F24" s="20"/>
      <c r="G24" s="20"/>
      <c r="H24" s="20"/>
      <c r="I24" s="20"/>
      <c r="J24" s="1"/>
    </row>
    <row r="25" spans="1:10" x14ac:dyDescent="0.2">
      <c r="A25" s="19" t="s">
        <v>22</v>
      </c>
      <c r="B25" s="20">
        <f>SUM(B18:B24)</f>
        <v>33434</v>
      </c>
      <c r="C25" s="20">
        <f>SUM(C18:C24)</f>
        <v>33602</v>
      </c>
      <c r="D25" s="20">
        <f>SUM(D18:D24)</f>
        <v>36350</v>
      </c>
      <c r="E25" s="20"/>
      <c r="F25" s="20"/>
      <c r="G25" s="20"/>
      <c r="H25" s="20"/>
      <c r="I25" s="20"/>
      <c r="J25" s="1"/>
    </row>
    <row r="26" spans="1:10" x14ac:dyDescent="0.2">
      <c r="A26" s="19" t="s">
        <v>25</v>
      </c>
      <c r="B26" s="17">
        <v>22209</v>
      </c>
      <c r="C26" s="17">
        <v>23426</v>
      </c>
      <c r="D26" s="17">
        <v>22794</v>
      </c>
      <c r="E26" s="20"/>
      <c r="F26" s="20"/>
      <c r="G26" s="20"/>
      <c r="H26" s="20"/>
      <c r="I26" s="20"/>
      <c r="J26" s="1"/>
    </row>
    <row r="27" spans="1:10" x14ac:dyDescent="0.2">
      <c r="A27" s="19" t="s">
        <v>26</v>
      </c>
      <c r="B27" s="20">
        <f>B25-B26</f>
        <v>11225</v>
      </c>
      <c r="C27" s="20">
        <f>C25-C26</f>
        <v>10176</v>
      </c>
      <c r="D27" s="20">
        <f>D25-D26</f>
        <v>13556</v>
      </c>
      <c r="E27" s="20"/>
      <c r="F27" s="20"/>
      <c r="G27" s="20"/>
      <c r="H27" s="20"/>
      <c r="I27" s="20"/>
      <c r="J27" s="1"/>
    </row>
    <row r="28" spans="1:10" x14ac:dyDescent="0.2">
      <c r="A28" s="19"/>
      <c r="B28" s="20"/>
      <c r="C28" s="20"/>
      <c r="D28" s="20"/>
      <c r="E28" s="20"/>
      <c r="F28" s="20"/>
      <c r="G28" s="20"/>
      <c r="H28" s="20"/>
      <c r="I28" s="20"/>
      <c r="J28" s="1"/>
    </row>
    <row r="29" spans="1:10" x14ac:dyDescent="0.2">
      <c r="A29" s="19" t="s">
        <v>27</v>
      </c>
      <c r="B29" s="20"/>
      <c r="C29" s="20"/>
      <c r="D29" s="20"/>
      <c r="E29" s="20"/>
      <c r="F29" s="20"/>
      <c r="G29" s="20"/>
      <c r="H29" s="20"/>
      <c r="I29" s="20"/>
      <c r="J29" s="1"/>
    </row>
    <row r="30" spans="1:10" x14ac:dyDescent="0.2">
      <c r="A30" s="19" t="s">
        <v>15</v>
      </c>
      <c r="B30" s="20">
        <f>B6+B18/6</f>
        <v>18891.666666666668</v>
      </c>
      <c r="C30" s="20">
        <f>C6+C18/6</f>
        <v>14309.333333333332</v>
      </c>
      <c r="D30" s="20">
        <f>D6+D18/6</f>
        <v>15902.333333333332</v>
      </c>
      <c r="E30" s="20">
        <f>D37</f>
        <v>20078.333333333332</v>
      </c>
      <c r="F30" s="20">
        <f>F36*-Performance!F10</f>
        <v>20279.116666666669</v>
      </c>
      <c r="G30" s="20">
        <f>G36*-Performance!G10</f>
        <v>20481.907833333331</v>
      </c>
      <c r="H30" s="20">
        <f>H36*-Performance!H10</f>
        <v>20686.726911666665</v>
      </c>
      <c r="I30" s="20">
        <f>I36*-Performance!I10</f>
        <v>20893.59418078333</v>
      </c>
      <c r="J30" s="1"/>
    </row>
    <row r="31" spans="1:10" x14ac:dyDescent="0.2">
      <c r="A31" s="19" t="s">
        <v>16</v>
      </c>
      <c r="B31" s="20">
        <f t="shared" ref="B31:D39" si="0">B7+B19/6</f>
        <v>-3980.1666666666665</v>
      </c>
      <c r="C31" s="20">
        <f t="shared" si="0"/>
        <v>1063.1666666666667</v>
      </c>
      <c r="D31" s="20">
        <f t="shared" si="0"/>
        <v>3627.1666666666665</v>
      </c>
      <c r="E31" s="20">
        <f>(E37-E30-E36)*D31/(D31+D34+D35)</f>
        <v>892.92402456481523</v>
      </c>
      <c r="F31" s="20">
        <f>(F37-F30-F36)*E31/(E31+E34+E35)</f>
        <v>901.85326481045831</v>
      </c>
      <c r="G31" s="20">
        <f>(G37-G30-G36)*F31/(F31+F34+F35)</f>
        <v>910.87179745856611</v>
      </c>
      <c r="H31" s="20">
        <f>(H37-H30-H36)*G31/(G31+G34+G35)</f>
        <v>919.98051543315023</v>
      </c>
      <c r="I31" s="20">
        <f>(I37-I30-I36)*H31/(H31+H34+H35)</f>
        <v>929.18032058748383</v>
      </c>
      <c r="J31" s="1"/>
    </row>
    <row r="32" spans="1:10" x14ac:dyDescent="0.2">
      <c r="A32" s="19" t="s">
        <v>17</v>
      </c>
      <c r="B32" s="20">
        <f t="shared" si="0"/>
        <v>135.66666666666666</v>
      </c>
      <c r="C32" s="20">
        <f t="shared" si="0"/>
        <v>770</v>
      </c>
      <c r="D32" s="20">
        <f t="shared" si="0"/>
        <v>27.333333333333332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1"/>
    </row>
    <row r="33" spans="1:10" x14ac:dyDescent="0.2">
      <c r="A33" s="19" t="s">
        <v>18</v>
      </c>
      <c r="B33" s="20">
        <f t="shared" si="0"/>
        <v>-37.833333333333336</v>
      </c>
      <c r="C33" s="20">
        <f t="shared" si="0"/>
        <v>-86.666666666666671</v>
      </c>
      <c r="D33" s="20">
        <f t="shared" si="0"/>
        <v>-71.166666666666657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1"/>
    </row>
    <row r="34" spans="1:10" x14ac:dyDescent="0.2">
      <c r="A34" s="19" t="s">
        <v>19</v>
      </c>
      <c r="B34" s="20">
        <f t="shared" si="0"/>
        <v>0</v>
      </c>
      <c r="C34" s="20">
        <f t="shared" si="0"/>
        <v>8.1666666666666661</v>
      </c>
      <c r="D34" s="20">
        <f t="shared" si="0"/>
        <v>36</v>
      </c>
      <c r="E34" s="20">
        <f>(E37-E30-E36)*D34/(D31+D34+D35)</f>
        <v>8.8623622343426955</v>
      </c>
      <c r="F34" s="20">
        <f>(F37-F30-F36)*E34/(E31+E34+E35)</f>
        <v>8.9509858566860707</v>
      </c>
      <c r="G34" s="20">
        <f>(G37-G30-G36)*F34/(F31+F34+F35)</f>
        <v>9.0404957152529626</v>
      </c>
      <c r="H34" s="20">
        <f>(H37-H30-H36)*G34/(G31+G34+G35)</f>
        <v>9.1309006724054758</v>
      </c>
      <c r="I34" s="20">
        <f>(I37-I30-I36)*H34/(H31+H34+H35)</f>
        <v>9.222209679129552</v>
      </c>
      <c r="J34" s="1"/>
    </row>
    <row r="35" spans="1:10" x14ac:dyDescent="0.2">
      <c r="A35" s="19" t="s">
        <v>20</v>
      </c>
      <c r="B35" s="20">
        <f t="shared" si="0"/>
        <v>453.33333333333337</v>
      </c>
      <c r="C35" s="20">
        <f t="shared" si="0"/>
        <v>970.33333333333337</v>
      </c>
      <c r="D35" s="20">
        <f t="shared" si="0"/>
        <v>1653.8333333333335</v>
      </c>
      <c r="E35" s="20">
        <f>(E37-E30-E36)*D35/(D31+D34+D35)</f>
        <v>407.13527986751194</v>
      </c>
      <c r="F35" s="20">
        <f>(F37-F30-F36)*E35/(E31+E34+E35)</f>
        <v>411.20663266618476</v>
      </c>
      <c r="G35" s="20">
        <f>(G37-G30-G36)*F35/(F31+F34+F35)</f>
        <v>415.31869899284806</v>
      </c>
      <c r="H35" s="20">
        <f>(H37-H30-H36)*G35/(G31+G34+G35)</f>
        <v>419.47188598277586</v>
      </c>
      <c r="I35" s="20">
        <f>(I37-I30-I36)*H35/(H31+H34+H35)</f>
        <v>423.66660484260461</v>
      </c>
      <c r="J35" s="1"/>
    </row>
    <row r="36" spans="1:10" x14ac:dyDescent="0.2">
      <c r="A36" s="19" t="s">
        <v>21</v>
      </c>
      <c r="B36" s="20">
        <f t="shared" si="0"/>
        <v>-1153.3333333333333</v>
      </c>
      <c r="C36" s="20">
        <f t="shared" si="0"/>
        <v>-1132</v>
      </c>
      <c r="D36" s="20">
        <f t="shared" si="0"/>
        <v>-1097.1666666666667</v>
      </c>
      <c r="E36" s="20">
        <f>D36*(1+Performance!E6)</f>
        <v>-1108.1383333333333</v>
      </c>
      <c r="F36" s="20">
        <f>E36*(1+Performance!F6)</f>
        <v>-1119.2197166666667</v>
      </c>
      <c r="G36" s="20">
        <f>F36*(1+Performance!G6)</f>
        <v>-1130.4119138333333</v>
      </c>
      <c r="H36" s="20">
        <f>G36*(1+Performance!H6)</f>
        <v>-1141.7160329716667</v>
      </c>
      <c r="I36" s="20">
        <f>H36*(1+Performance!I6)</f>
        <v>-1153.1331933013832</v>
      </c>
      <c r="J36" s="1"/>
    </row>
    <row r="37" spans="1:10" x14ac:dyDescent="0.2">
      <c r="A37" s="19" t="s">
        <v>22</v>
      </c>
      <c r="B37" s="20">
        <f t="shared" si="0"/>
        <v>14309.333333333332</v>
      </c>
      <c r="C37" s="20">
        <f t="shared" si="0"/>
        <v>15902.333333333332</v>
      </c>
      <c r="D37" s="20">
        <f t="shared" si="0"/>
        <v>20078.333333333332</v>
      </c>
      <c r="E37" s="20">
        <f>F30</f>
        <v>20279.116666666669</v>
      </c>
      <c r="F37" s="20">
        <f>G30</f>
        <v>20481.907833333331</v>
      </c>
      <c r="G37" s="20">
        <f>H30</f>
        <v>20686.726911666665</v>
      </c>
      <c r="H37" s="20">
        <f>I30</f>
        <v>20893.59418078333</v>
      </c>
      <c r="I37" s="20">
        <f>-I36*(1+Performance!I6)*Performance!I10</f>
        <v>21102.530122591164</v>
      </c>
      <c r="J37" s="1"/>
    </row>
    <row r="38" spans="1:10" x14ac:dyDescent="0.2">
      <c r="A38" s="19" t="s">
        <v>25</v>
      </c>
      <c r="B38" s="20">
        <f t="shared" si="0"/>
        <v>9079.5</v>
      </c>
      <c r="C38" s="20">
        <f t="shared" si="0"/>
        <v>9723.3333333333339</v>
      </c>
      <c r="D38" s="20">
        <f t="shared" si="0"/>
        <v>13098</v>
      </c>
      <c r="E38" s="20">
        <f>E37*E40</f>
        <v>13228.980000000003</v>
      </c>
      <c r="F38" s="20">
        <f>F37*F40</f>
        <v>13361.2698</v>
      </c>
      <c r="G38" s="20">
        <f>G37*G40</f>
        <v>13494.882497999999</v>
      </c>
      <c r="H38" s="20">
        <f>H37*H40</f>
        <v>13629.831322979999</v>
      </c>
      <c r="I38" s="20">
        <f>I37*I40</f>
        <v>13766.1296362098</v>
      </c>
      <c r="J38" s="1"/>
    </row>
    <row r="39" spans="1:10" x14ac:dyDescent="0.2">
      <c r="A39" s="19" t="s">
        <v>26</v>
      </c>
      <c r="B39" s="20">
        <f t="shared" si="0"/>
        <v>5229.833333333333</v>
      </c>
      <c r="C39" s="20">
        <f t="shared" si="0"/>
        <v>6179</v>
      </c>
      <c r="D39" s="20">
        <f t="shared" si="0"/>
        <v>6980.3333333333339</v>
      </c>
      <c r="E39" s="20">
        <f>E37-E38</f>
        <v>7050.1366666666654</v>
      </c>
      <c r="F39" s="20">
        <f>F37-F38</f>
        <v>7120.6380333333309</v>
      </c>
      <c r="G39" s="20">
        <f>G37-G38</f>
        <v>7191.8444136666658</v>
      </c>
      <c r="H39" s="20">
        <f>H37-H38</f>
        <v>7263.7628578033309</v>
      </c>
      <c r="I39" s="20">
        <f>I37-I38</f>
        <v>7336.4004863813643</v>
      </c>
      <c r="J39" s="1"/>
    </row>
    <row r="40" spans="1:10" x14ac:dyDescent="0.2">
      <c r="A40" s="21" t="s">
        <v>31</v>
      </c>
      <c r="B40" s="22">
        <f>B38/B37</f>
        <v>0.63451593365635484</v>
      </c>
      <c r="C40" s="22">
        <f>C38/C37</f>
        <v>0.61144066908420158</v>
      </c>
      <c r="D40" s="22">
        <f>D38/D37</f>
        <v>0.65234498215323322</v>
      </c>
      <c r="E40" s="23">
        <f>D40</f>
        <v>0.65234498215323322</v>
      </c>
      <c r="F40" s="23">
        <f>E40</f>
        <v>0.65234498215323322</v>
      </c>
      <c r="G40" s="23">
        <f>F40</f>
        <v>0.65234498215323322</v>
      </c>
      <c r="H40" s="23">
        <f>G40</f>
        <v>0.65234498215323322</v>
      </c>
      <c r="I40" s="23">
        <f>H40</f>
        <v>0.65234498215323322</v>
      </c>
    </row>
    <row r="42" spans="1:10" x14ac:dyDescent="0.2">
      <c r="E42" s="1"/>
      <c r="F42" s="1"/>
      <c r="G42" s="1"/>
      <c r="H42" s="1"/>
      <c r="I42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workbookViewId="0"/>
  </sheetViews>
  <sheetFormatPr defaultRowHeight="12.75" x14ac:dyDescent="0.2"/>
  <cols>
    <col min="1" max="1" width="42.42578125" bestFit="1" customWidth="1"/>
  </cols>
  <sheetData>
    <row r="1" spans="1:10" x14ac:dyDescent="0.2">
      <c r="A1" s="18" t="s">
        <v>62</v>
      </c>
      <c r="B1" s="19"/>
      <c r="C1" s="19"/>
      <c r="D1" s="19"/>
      <c r="E1" s="19"/>
      <c r="F1" s="19"/>
      <c r="G1" s="19"/>
      <c r="H1" s="19"/>
      <c r="I1" s="19"/>
    </row>
    <row r="2" spans="1:10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10" x14ac:dyDescent="0.2">
      <c r="A3" s="19" t="str">
        <f>Operations!A3</f>
        <v>Year</v>
      </c>
      <c r="B3" s="19">
        <f>Operations!B3</f>
        <v>-2</v>
      </c>
      <c r="C3" s="19">
        <f>Operations!C3</f>
        <v>-1</v>
      </c>
      <c r="D3" s="19">
        <f>Operations!D3</f>
        <v>0</v>
      </c>
      <c r="E3" s="19">
        <f>Operations!E3</f>
        <v>1</v>
      </c>
      <c r="F3" s="19">
        <f>Operations!F3</f>
        <v>2</v>
      </c>
      <c r="G3" s="19">
        <f>Operations!G3</f>
        <v>3</v>
      </c>
      <c r="H3" s="19">
        <f>Operations!H3</f>
        <v>4</v>
      </c>
      <c r="I3" s="19">
        <f>Operations!I3</f>
        <v>5</v>
      </c>
    </row>
    <row r="4" spans="1:10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10" x14ac:dyDescent="0.2">
      <c r="A5" s="19" t="s">
        <v>32</v>
      </c>
      <c r="B5" s="19"/>
      <c r="C5" s="19"/>
      <c r="D5" s="19"/>
      <c r="E5" s="19"/>
      <c r="F5" s="19"/>
      <c r="G5" s="19"/>
      <c r="H5" s="19"/>
      <c r="I5" s="19"/>
    </row>
    <row r="6" spans="1:10" x14ac:dyDescent="0.2">
      <c r="A6" s="21" t="s">
        <v>30</v>
      </c>
      <c r="B6" s="24"/>
      <c r="C6" s="24">
        <f>Operations!C36/Operations!B36-1</f>
        <v>-1.8497109826589586E-2</v>
      </c>
      <c r="D6" s="24">
        <f>Operations!D36/Operations!C36-1</f>
        <v>-3.077149587750283E-2</v>
      </c>
      <c r="E6" s="25">
        <v>0.01</v>
      </c>
      <c r="F6" s="25">
        <f>E6</f>
        <v>0.01</v>
      </c>
      <c r="G6" s="25">
        <f>F6</f>
        <v>0.01</v>
      </c>
      <c r="H6" s="25">
        <f>G6</f>
        <v>0.01</v>
      </c>
      <c r="I6" s="25">
        <f>H6</f>
        <v>0.01</v>
      </c>
      <c r="J6" s="2"/>
    </row>
    <row r="7" spans="1:10" x14ac:dyDescent="0.2">
      <c r="A7" s="21" t="s">
        <v>28</v>
      </c>
      <c r="B7" s="24">
        <f>+Operations!B37/Operations!B30</f>
        <v>0.7574415527128362</v>
      </c>
      <c r="C7" s="24">
        <f>+Operations!C37/Operations!C30</f>
        <v>1.111325941110697</v>
      </c>
      <c r="D7" s="24">
        <f>+Operations!D37/Operations!D30</f>
        <v>1.2626029723101433</v>
      </c>
      <c r="E7" s="24">
        <f>+Operations!E37/Operations!E30</f>
        <v>1.0100000000000002</v>
      </c>
      <c r="F7" s="24">
        <f>+Operations!F37/Operations!F30</f>
        <v>1.0099999999999998</v>
      </c>
      <c r="G7" s="24">
        <f>+Operations!G37/Operations!G30</f>
        <v>1.01</v>
      </c>
      <c r="H7" s="24">
        <f>+Operations!H37/Operations!H30</f>
        <v>1.01</v>
      </c>
      <c r="I7" s="24">
        <f>+Operations!I37/Operations!I30</f>
        <v>1.01</v>
      </c>
    </row>
    <row r="8" spans="1:10" x14ac:dyDescent="0.2">
      <c r="A8" s="18" t="s">
        <v>57</v>
      </c>
      <c r="B8" s="27">
        <f>Financials!B17/(Operations!B34+Operations!B35)</f>
        <v>3.5977941176470587</v>
      </c>
      <c r="C8" s="27">
        <f>Financials!C17/(Operations!C34+Operations!C35)</f>
        <v>2.1532958610117525</v>
      </c>
      <c r="D8" s="27">
        <f>Financials!D17/(Operations!D34+Operations!D35)</f>
        <v>1.3184732222112634</v>
      </c>
      <c r="E8" s="26">
        <f>AVERAGE(C8:D8)</f>
        <v>1.7358845416115081</v>
      </c>
      <c r="F8" s="26">
        <f t="shared" ref="F8:I10" si="0">E8</f>
        <v>1.7358845416115081</v>
      </c>
      <c r="G8" s="26">
        <f t="shared" si="0"/>
        <v>1.7358845416115081</v>
      </c>
      <c r="H8" s="26">
        <f t="shared" si="0"/>
        <v>1.7358845416115081</v>
      </c>
      <c r="I8" s="26">
        <f t="shared" si="0"/>
        <v>1.7358845416115081</v>
      </c>
    </row>
    <row r="9" spans="1:10" x14ac:dyDescent="0.2">
      <c r="A9" s="18" t="s">
        <v>58</v>
      </c>
      <c r="B9" s="19"/>
      <c r="C9" s="27">
        <f>Financials!C18/(Operations!C38-Operations!B38-Operations!C36-Operations!C31)</f>
        <v>9.729653882132828</v>
      </c>
      <c r="D9" s="27">
        <f>Financials!D18/(Operations!D38-Operations!C38-Operations!D36-Operations!D31)</f>
        <v>13.521310181531179</v>
      </c>
      <c r="E9" s="26">
        <f>AVERAGE(C9:D9)</f>
        <v>11.625482031832004</v>
      </c>
      <c r="F9" s="26">
        <f t="shared" si="0"/>
        <v>11.625482031832004</v>
      </c>
      <c r="G9" s="26">
        <f t="shared" si="0"/>
        <v>11.625482031832004</v>
      </c>
      <c r="H9" s="26">
        <f t="shared" si="0"/>
        <v>11.625482031832004</v>
      </c>
      <c r="I9" s="26">
        <f t="shared" si="0"/>
        <v>11.625482031832004</v>
      </c>
    </row>
    <row r="10" spans="1:10" x14ac:dyDescent="0.2">
      <c r="A10" s="19" t="s">
        <v>29</v>
      </c>
      <c r="B10" s="28">
        <f>Operations!B30/-Operations!B36</f>
        <v>16.380057803468212</v>
      </c>
      <c r="C10" s="28">
        <f>Operations!C30/-Operations!C36</f>
        <v>12.640753828032979</v>
      </c>
      <c r="D10" s="28">
        <f>Operations!D30/-Operations!D36</f>
        <v>14.493999696187146</v>
      </c>
      <c r="E10" s="28">
        <f>Operations!E30/-Operations!E36</f>
        <v>18.118977323829906</v>
      </c>
      <c r="F10" s="28">
        <f t="shared" si="0"/>
        <v>18.118977323829906</v>
      </c>
      <c r="G10" s="28">
        <f t="shared" si="0"/>
        <v>18.118977323829906</v>
      </c>
      <c r="H10" s="28">
        <f t="shared" si="0"/>
        <v>18.118977323829906</v>
      </c>
      <c r="I10" s="28">
        <f t="shared" si="0"/>
        <v>18.118977323829906</v>
      </c>
    </row>
    <row r="11" spans="1:10" x14ac:dyDescent="0.2">
      <c r="A11" s="19"/>
      <c r="B11" s="28"/>
      <c r="C11" s="28"/>
      <c r="D11" s="28"/>
      <c r="E11" s="28"/>
      <c r="F11" s="28"/>
      <c r="G11" s="28"/>
      <c r="H11" s="28"/>
      <c r="I11" s="28"/>
    </row>
    <row r="12" spans="1:10" x14ac:dyDescent="0.2">
      <c r="A12" s="19" t="s">
        <v>41</v>
      </c>
      <c r="B12" s="19"/>
      <c r="C12" s="19"/>
      <c r="D12" s="19"/>
      <c r="E12" s="19"/>
      <c r="F12" s="19"/>
      <c r="G12" s="19"/>
      <c r="H12" s="19"/>
      <c r="I12" s="19"/>
    </row>
    <row r="13" spans="1:10" x14ac:dyDescent="0.2">
      <c r="A13" s="19" t="str">
        <f>Financials!A6</f>
        <v>Revenue</v>
      </c>
      <c r="B13" s="27">
        <f>Financials!B6/-Operations!B36</f>
        <v>26.806647398843932</v>
      </c>
      <c r="C13" s="27">
        <f>Financials!C6/-Operations!C36</f>
        <v>35.072438162544167</v>
      </c>
      <c r="D13" s="27">
        <f>Financials!D6/-Operations!D36</f>
        <v>43.852954579978729</v>
      </c>
      <c r="E13" s="26">
        <f>AVERAGE(C13:D13)</f>
        <v>39.462696371261444</v>
      </c>
      <c r="F13" s="26">
        <f t="shared" ref="F13:I14" si="1">E13</f>
        <v>39.462696371261444</v>
      </c>
      <c r="G13" s="26">
        <f t="shared" si="1"/>
        <v>39.462696371261444</v>
      </c>
      <c r="H13" s="26">
        <f t="shared" si="1"/>
        <v>39.462696371261444</v>
      </c>
      <c r="I13" s="26">
        <f t="shared" si="1"/>
        <v>39.462696371261444</v>
      </c>
    </row>
    <row r="14" spans="1:10" x14ac:dyDescent="0.2">
      <c r="A14" s="19" t="str">
        <f>Financials!A7</f>
        <v>Production costs</v>
      </c>
      <c r="B14" s="27">
        <f>Financials!B7/Operations!B36</f>
        <v>11.369653179190752</v>
      </c>
      <c r="C14" s="27">
        <f>Financials!C7/Operations!C36</f>
        <v>11.878975265017667</v>
      </c>
      <c r="D14" s="27">
        <f>Financials!D7/Operations!D36</f>
        <v>12.859486556281329</v>
      </c>
      <c r="E14" s="26">
        <f>AVERAGE(C14:D14)</f>
        <v>12.369230910649499</v>
      </c>
      <c r="F14" s="26">
        <f t="shared" si="1"/>
        <v>12.369230910649499</v>
      </c>
      <c r="G14" s="26">
        <f t="shared" si="1"/>
        <v>12.369230910649499</v>
      </c>
      <c r="H14" s="26">
        <f t="shared" si="1"/>
        <v>12.369230910649499</v>
      </c>
      <c r="I14" s="26">
        <f t="shared" si="1"/>
        <v>12.369230910649499</v>
      </c>
    </row>
    <row r="15" spans="1:10" x14ac:dyDescent="0.2">
      <c r="A15" s="19" t="str">
        <f>Financials!A9</f>
        <v>Depreciation and depletion</v>
      </c>
      <c r="B15" s="27">
        <f>Financials!B9/Operations!B36</f>
        <v>15.893930635838151</v>
      </c>
      <c r="C15" s="27">
        <f>Financials!C9/Operations!C36</f>
        <v>13.605123674911662</v>
      </c>
      <c r="D15" s="27">
        <f>Financials!D9/Operations!D36</f>
        <v>12.694516178034331</v>
      </c>
      <c r="E15" s="27">
        <f>D19*E20</f>
        <v>9.34400650672805</v>
      </c>
      <c r="F15" s="27">
        <f>E19*F20</f>
        <v>9.4583310692191525</v>
      </c>
      <c r="G15" s="27">
        <f>F19*G20</f>
        <v>9.565055022574251</v>
      </c>
      <c r="H15" s="27">
        <f>G19*H20</f>
        <v>9.6646836760460477</v>
      </c>
      <c r="I15" s="27">
        <f>H19*I20</f>
        <v>9.7576887445481262</v>
      </c>
    </row>
    <row r="16" spans="1:10" x14ac:dyDescent="0.2">
      <c r="A16" s="19" t="str">
        <f>Financials!A10</f>
        <v>Taxes other than income</v>
      </c>
      <c r="B16" s="27">
        <f>Financials!B10/Operations!B36</f>
        <v>2.0696531791907518</v>
      </c>
      <c r="C16" s="27">
        <f>Financials!C10/Operations!C36</f>
        <v>2.3038869257950529</v>
      </c>
      <c r="D16" s="27">
        <f>Financials!D10/Operations!D36</f>
        <v>3.1927692541394497</v>
      </c>
      <c r="E16" s="27">
        <f>E13*E17</f>
        <v>2.8731310094469142</v>
      </c>
      <c r="F16" s="27">
        <f>F13*F17</f>
        <v>2.8731310094469142</v>
      </c>
      <c r="G16" s="27">
        <f>G13*G17</f>
        <v>2.8731310094469142</v>
      </c>
      <c r="H16" s="27">
        <f>H13*H17</f>
        <v>2.8731310094469142</v>
      </c>
      <c r="I16" s="27">
        <f>I13*I17</f>
        <v>2.8731310094469142</v>
      </c>
    </row>
    <row r="17" spans="1:9" x14ac:dyDescent="0.2">
      <c r="A17" s="21" t="s">
        <v>40</v>
      </c>
      <c r="B17" s="22">
        <f>B16/B13</f>
        <v>7.7206714752401595E-2</v>
      </c>
      <c r="C17" s="22">
        <f>C16/C13</f>
        <v>6.5689385925142313E-2</v>
      </c>
      <c r="D17" s="22">
        <f>D16/D13</f>
        <v>7.2806251818597498E-2</v>
      </c>
      <c r="E17" s="23">
        <f>D17</f>
        <v>7.2806251818597498E-2</v>
      </c>
      <c r="F17" s="23">
        <f>E17</f>
        <v>7.2806251818597498E-2</v>
      </c>
      <c r="G17" s="23">
        <f>F17</f>
        <v>7.2806251818597498E-2</v>
      </c>
      <c r="H17" s="23">
        <f>G17</f>
        <v>7.2806251818597498E-2</v>
      </c>
      <c r="I17" s="23">
        <f>H17</f>
        <v>7.2806251818597498E-2</v>
      </c>
    </row>
    <row r="18" spans="1:9" x14ac:dyDescent="0.2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">
      <c r="A19" s="19" t="s">
        <v>37</v>
      </c>
      <c r="B19" s="27">
        <f>Financials!B28/Operations!B38</f>
        <v>19.898122143289829</v>
      </c>
      <c r="C19" s="27">
        <f>Financials!C28/Operations!C38</f>
        <v>19.026294137812819</v>
      </c>
      <c r="D19" s="27">
        <f>Financials!D28/Operations!D38</f>
        <v>13.833256985799359</v>
      </c>
      <c r="E19" s="27">
        <f>Financials!E28/Operations!E38</f>
        <v>14.002507836768885</v>
      </c>
      <c r="F19" s="27">
        <f>Financials!F28/Operations!F38</f>
        <v>14.160506428940081</v>
      </c>
      <c r="G19" s="27">
        <f>Financials!G28/Operations!G38</f>
        <v>14.308000843207898</v>
      </c>
      <c r="H19" s="27">
        <f>Financials!H28/Operations!H38</f>
        <v>14.445689426006373</v>
      </c>
      <c r="I19" s="27">
        <f>Financials!I28/Operations!I38</f>
        <v>14.574224095791422</v>
      </c>
    </row>
    <row r="20" spans="1:9" x14ac:dyDescent="0.2">
      <c r="A20" s="21" t="s">
        <v>39</v>
      </c>
      <c r="B20" s="21"/>
      <c r="C20" s="22">
        <f>C15/B19</f>
        <v>0.68373907733296668</v>
      </c>
      <c r="D20" s="22">
        <f>D15/C19</f>
        <v>0.66720907845134558</v>
      </c>
      <c r="E20" s="23">
        <f>AVERAGE(C20:D20)</f>
        <v>0.67547407789215619</v>
      </c>
      <c r="F20" s="23">
        <f>E20</f>
        <v>0.67547407789215619</v>
      </c>
      <c r="G20" s="23">
        <f>F20</f>
        <v>0.67547407789215619</v>
      </c>
      <c r="H20" s="23">
        <f>G20</f>
        <v>0.67547407789215619</v>
      </c>
      <c r="I20" s="23">
        <f>H20</f>
        <v>0.67547407789215619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workbookViewId="0"/>
  </sheetViews>
  <sheetFormatPr defaultRowHeight="12.75" x14ac:dyDescent="0.2"/>
  <cols>
    <col min="1" max="1" width="36.7109375" customWidth="1"/>
  </cols>
  <sheetData>
    <row r="1" spans="1:2" x14ac:dyDescent="0.2">
      <c r="A1" s="5" t="s">
        <v>44</v>
      </c>
      <c r="B1" s="5"/>
    </row>
    <row r="2" spans="1:2" x14ac:dyDescent="0.2">
      <c r="A2" s="5"/>
      <c r="B2" s="5"/>
    </row>
    <row r="3" spans="1:2" x14ac:dyDescent="0.2">
      <c r="A3" s="5" t="str">
        <f>Performance!A3</f>
        <v>Year</v>
      </c>
      <c r="B3" s="5">
        <f>Performance!D3</f>
        <v>0</v>
      </c>
    </row>
    <row r="4" spans="1:2" x14ac:dyDescent="0.2">
      <c r="A4" s="5"/>
      <c r="B4" s="5"/>
    </row>
    <row r="5" spans="1:2" x14ac:dyDescent="0.2">
      <c r="A5" s="5" t="s">
        <v>48</v>
      </c>
      <c r="B5" s="5"/>
    </row>
    <row r="6" spans="1:2" x14ac:dyDescent="0.2">
      <c r="A6" s="5" t="s">
        <v>45</v>
      </c>
      <c r="B6" s="6">
        <f>Financials!D12</f>
        <v>6649</v>
      </c>
    </row>
    <row r="7" spans="1:2" x14ac:dyDescent="0.2">
      <c r="A7" s="5" t="s">
        <v>46</v>
      </c>
      <c r="B7" s="6">
        <f>Financials!C28</f>
        <v>184999</v>
      </c>
    </row>
    <row r="8" spans="1:2" x14ac:dyDescent="0.2">
      <c r="A8" s="3" t="s">
        <v>47</v>
      </c>
      <c r="B8" s="4">
        <f>B6/B7</f>
        <v>3.5940734814782785E-2</v>
      </c>
    </row>
    <row r="9" spans="1:2" x14ac:dyDescent="0.2">
      <c r="A9" s="5" t="s">
        <v>55</v>
      </c>
      <c r="B9" s="7">
        <f>B7/Operations!D37</f>
        <v>9.2138623723748658</v>
      </c>
    </row>
    <row r="10" spans="1:2" x14ac:dyDescent="0.2">
      <c r="A10" s="5"/>
      <c r="B10" s="5"/>
    </row>
    <row r="11" spans="1:2" x14ac:dyDescent="0.2">
      <c r="A11" s="5" t="s">
        <v>50</v>
      </c>
      <c r="B11" s="5"/>
    </row>
    <row r="12" spans="1:2" x14ac:dyDescent="0.2">
      <c r="A12" s="5" t="s">
        <v>52</v>
      </c>
      <c r="B12" s="6">
        <v>65201</v>
      </c>
    </row>
    <row r="13" spans="1:2" x14ac:dyDescent="0.2">
      <c r="A13" s="5" t="s">
        <v>53</v>
      </c>
      <c r="B13" s="6">
        <v>106104</v>
      </c>
    </row>
    <row r="14" spans="1:2" x14ac:dyDescent="0.2">
      <c r="A14" s="5" t="s">
        <v>42</v>
      </c>
      <c r="B14" s="6">
        <f>B13-B12</f>
        <v>40903</v>
      </c>
    </row>
    <row r="15" spans="1:2" x14ac:dyDescent="0.2">
      <c r="A15" s="5" t="s">
        <v>9</v>
      </c>
      <c r="B15" s="6">
        <f>-Financials!D19-Financials!D8</f>
        <v>-14862</v>
      </c>
    </row>
    <row r="16" spans="1:2" x14ac:dyDescent="0.2">
      <c r="A16" s="5" t="s">
        <v>43</v>
      </c>
      <c r="B16" s="6">
        <f>B14+B15</f>
        <v>26041</v>
      </c>
    </row>
    <row r="17" spans="1:2" x14ac:dyDescent="0.2">
      <c r="A17" s="5" t="s">
        <v>54</v>
      </c>
      <c r="B17" s="7">
        <f>B13/Operations!D37</f>
        <v>5.2845023657342081</v>
      </c>
    </row>
    <row r="18" spans="1:2" x14ac:dyDescent="0.2">
      <c r="A18" s="5"/>
      <c r="B18" s="5"/>
    </row>
    <row r="19" spans="1:2" x14ac:dyDescent="0.2">
      <c r="A19" s="5" t="s">
        <v>49</v>
      </c>
      <c r="B19" s="5"/>
    </row>
    <row r="20" spans="1:2" x14ac:dyDescent="0.2">
      <c r="A20" s="5" t="s">
        <v>45</v>
      </c>
      <c r="B20" s="6">
        <f>B6</f>
        <v>6649</v>
      </c>
    </row>
    <row r="21" spans="1:2" x14ac:dyDescent="0.2">
      <c r="A21" s="5" t="s">
        <v>43</v>
      </c>
      <c r="B21" s="6">
        <f>B16</f>
        <v>26041</v>
      </c>
    </row>
    <row r="22" spans="1:2" x14ac:dyDescent="0.2">
      <c r="A22" s="5" t="s">
        <v>51</v>
      </c>
      <c r="B22" s="6">
        <f>SUM(B20:B21)</f>
        <v>32690</v>
      </c>
    </row>
    <row r="23" spans="1:2" x14ac:dyDescent="0.2">
      <c r="A23" s="5" t="s">
        <v>52</v>
      </c>
      <c r="B23" s="6">
        <f>B12</f>
        <v>65201</v>
      </c>
    </row>
    <row r="24" spans="1:2" x14ac:dyDescent="0.2">
      <c r="A24" s="4" t="s">
        <v>49</v>
      </c>
      <c r="B24" s="29">
        <f>B22/B23</f>
        <v>0.50137267833315435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Start</vt:lpstr>
      <vt:lpstr>Financials</vt:lpstr>
      <vt:lpstr>Operations</vt:lpstr>
      <vt:lpstr>Performance</vt:lpstr>
      <vt:lpstr>ROCE</vt:lpstr>
      <vt:lpstr>Financials!Print_Area</vt:lpstr>
      <vt:lpstr>Operations!Print_Area</vt:lpstr>
      <vt:lpstr>Performance!Print_Area</vt:lpstr>
      <vt:lpstr>ROCE!Print_Area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Antill</dc:creator>
  <cp:lastModifiedBy>Nick</cp:lastModifiedBy>
  <cp:lastPrinted>2019-03-09T09:48:05Z</cp:lastPrinted>
  <dcterms:created xsi:type="dcterms:W3CDTF">2004-07-04T15:30:43Z</dcterms:created>
  <dcterms:modified xsi:type="dcterms:W3CDTF">2019-12-30T11:10:30Z</dcterms:modified>
</cp:coreProperties>
</file>